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8" windowWidth="14808" windowHeight="7836" activeTab="3"/>
  </bookViews>
  <sheets>
    <sheet name="МКД, март 2015" sheetId="1" r:id="rId1"/>
    <sheet name="МКД, апрель 2015" sheetId="2" r:id="rId2"/>
    <sheet name="МКД, май 2015" sheetId="3" r:id="rId3"/>
    <sheet name="МКД, июнь 2015" sheetId="4" r:id="rId4"/>
  </sheets>
  <calcPr calcId="145621" iterateDelta="1E-4"/>
</workbook>
</file>

<file path=xl/calcChain.xml><?xml version="1.0" encoding="utf-8"?>
<calcChain xmlns="http://schemas.openxmlformats.org/spreadsheetml/2006/main">
  <c r="U6" i="1" l="1"/>
  <c r="U5" i="1"/>
  <c r="T5" i="1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U8" i="2"/>
  <c r="U7" i="2"/>
  <c r="U6" i="2"/>
  <c r="U5" i="2"/>
  <c r="V19" i="4"/>
  <c r="V18" i="4"/>
  <c r="V17" i="4"/>
  <c r="V16" i="4"/>
  <c r="V15" i="4"/>
  <c r="V14" i="4"/>
  <c r="V13" i="4"/>
  <c r="V12" i="4"/>
  <c r="V11" i="4"/>
  <c r="V10" i="4"/>
  <c r="V9" i="4"/>
  <c r="V8" i="4"/>
  <c r="V7" i="4"/>
  <c r="V6" i="4"/>
  <c r="V5" i="4"/>
  <c r="V14" i="3"/>
  <c r="V13" i="3"/>
  <c r="V12" i="3"/>
  <c r="V11" i="3"/>
  <c r="V10" i="3"/>
  <c r="V9" i="3"/>
  <c r="V8" i="3"/>
  <c r="V7" i="3"/>
  <c r="V5" i="3"/>
  <c r="V6" i="3"/>
  <c r="I19" i="4" l="1"/>
  <c r="J19" i="4"/>
  <c r="I18" i="4"/>
  <c r="J18" i="4"/>
  <c r="I17" i="4"/>
  <c r="J17" i="4"/>
  <c r="I16" i="4"/>
  <c r="J16" i="4"/>
  <c r="I14" i="4"/>
  <c r="J14" i="4"/>
  <c r="I13" i="4"/>
  <c r="J13" i="4"/>
  <c r="I12" i="4"/>
  <c r="J12" i="4"/>
  <c r="I9" i="4"/>
  <c r="J9" i="4"/>
  <c r="I8" i="4"/>
  <c r="J8" i="4"/>
  <c r="I7" i="4"/>
  <c r="J7" i="4"/>
  <c r="I6" i="4"/>
  <c r="J6" i="4"/>
  <c r="I5" i="4"/>
  <c r="J5" i="4"/>
  <c r="J15" i="4" l="1"/>
  <c r="I15" i="4"/>
  <c r="J11" i="4"/>
  <c r="I11" i="4"/>
  <c r="I10" i="4"/>
  <c r="J10" i="4"/>
  <c r="S15" i="4" l="1"/>
  <c r="R15" i="4"/>
  <c r="H15" i="4"/>
  <c r="R18" i="4"/>
  <c r="S18" i="4" s="1"/>
  <c r="H18" i="4"/>
  <c r="R17" i="4"/>
  <c r="S17" i="4" s="1"/>
  <c r="H17" i="4"/>
  <c r="R16" i="4"/>
  <c r="S16" i="4" s="1"/>
  <c r="H16" i="4"/>
  <c r="R14" i="4"/>
  <c r="S14" i="4" s="1"/>
  <c r="R19" i="4"/>
  <c r="S19" i="4" s="1"/>
  <c r="H19" i="4"/>
  <c r="R13" i="4"/>
  <c r="S13" i="4" s="1"/>
  <c r="R12" i="4"/>
  <c r="S12" i="4" s="1"/>
  <c r="R11" i="4"/>
  <c r="S11" i="4" s="1"/>
  <c r="R10" i="4"/>
  <c r="S10" i="4" s="1"/>
  <c r="H10" i="4"/>
  <c r="R9" i="4"/>
  <c r="S9" i="4" s="1"/>
  <c r="H9" i="4"/>
  <c r="R8" i="4"/>
  <c r="S8" i="4" s="1"/>
  <c r="H8" i="4"/>
  <c r="R7" i="4"/>
  <c r="S7" i="4" s="1"/>
  <c r="H7" i="4"/>
  <c r="R6" i="4"/>
  <c r="S6" i="4" s="1"/>
  <c r="H6" i="4"/>
  <c r="R5" i="4"/>
  <c r="S5" i="4" s="1"/>
  <c r="H5" i="4"/>
  <c r="H13" i="4" l="1"/>
  <c r="H11" i="4"/>
  <c r="H14" i="4"/>
  <c r="H12" i="4"/>
  <c r="S14" i="3"/>
  <c r="S13" i="3"/>
  <c r="S12" i="3"/>
  <c r="S11" i="3"/>
  <c r="S10" i="3"/>
  <c r="S9" i="3"/>
  <c r="S8" i="3"/>
  <c r="S7" i="3"/>
  <c r="S6" i="3"/>
  <c r="S5" i="3"/>
  <c r="J14" i="3" l="1"/>
  <c r="J13" i="3"/>
  <c r="J12" i="3"/>
  <c r="J11" i="3"/>
  <c r="J10" i="3"/>
  <c r="J9" i="3"/>
  <c r="J8" i="3"/>
  <c r="J7" i="3"/>
  <c r="J6" i="3"/>
  <c r="J5" i="3"/>
  <c r="I14" i="3"/>
  <c r="H14" i="3" s="1"/>
  <c r="I13" i="3"/>
  <c r="H13" i="3" s="1"/>
  <c r="I12" i="3"/>
  <c r="I11" i="3"/>
  <c r="I10" i="3"/>
  <c r="H10" i="3" s="1"/>
  <c r="I9" i="3"/>
  <c r="I8" i="3"/>
  <c r="I7" i="3"/>
  <c r="I6" i="3"/>
  <c r="H6" i="3" s="1"/>
  <c r="I5" i="3"/>
  <c r="H5" i="3" s="1"/>
  <c r="H7" i="3" l="1"/>
  <c r="H12" i="3"/>
  <c r="H9" i="3"/>
  <c r="H11" i="3"/>
  <c r="H8" i="3"/>
  <c r="R14" i="3"/>
  <c r="R13" i="3"/>
  <c r="R12" i="3"/>
  <c r="R11" i="3"/>
  <c r="R10" i="3"/>
  <c r="R9" i="3"/>
  <c r="R8" i="3"/>
  <c r="R7" i="3"/>
  <c r="R6" i="3"/>
  <c r="R5" i="3"/>
  <c r="I36" i="2" l="1"/>
  <c r="J36" i="2"/>
  <c r="I35" i="2"/>
  <c r="J35" i="2"/>
  <c r="J30" i="2"/>
  <c r="I30" i="2"/>
  <c r="J34" i="2"/>
  <c r="I34" i="2"/>
  <c r="I33" i="2" l="1"/>
  <c r="J33" i="2"/>
  <c r="I32" i="2"/>
  <c r="J32" i="2"/>
  <c r="I31" i="2"/>
  <c r="J31" i="2"/>
  <c r="I29" i="2" l="1"/>
  <c r="J29" i="2"/>
  <c r="I28" i="2" l="1"/>
  <c r="J28" i="2"/>
  <c r="I27" i="2"/>
  <c r="J27" i="2"/>
  <c r="I26" i="2"/>
  <c r="J26" i="2"/>
  <c r="I25" i="2"/>
  <c r="J25" i="2"/>
  <c r="I24" i="2"/>
  <c r="J24" i="2"/>
  <c r="I23" i="2"/>
  <c r="J23" i="2"/>
  <c r="I22" i="2"/>
  <c r="J22" i="2"/>
  <c r="I21" i="2"/>
  <c r="J21" i="2"/>
  <c r="I20" i="2"/>
  <c r="J20" i="2"/>
  <c r="I19" i="2" l="1"/>
  <c r="J19" i="2"/>
  <c r="I18" i="2" l="1"/>
  <c r="J18" i="2"/>
  <c r="I17" i="2"/>
  <c r="J17" i="2"/>
  <c r="I16" i="2"/>
  <c r="J16" i="2"/>
  <c r="I15" i="2"/>
  <c r="I14" i="2"/>
  <c r="J14" i="2"/>
  <c r="I13" i="2"/>
  <c r="J13" i="2"/>
  <c r="I12" i="2" l="1"/>
  <c r="J12" i="2"/>
  <c r="I11" i="2"/>
  <c r="J11" i="2"/>
  <c r="I10" i="2"/>
  <c r="J10" i="2"/>
  <c r="I9" i="2"/>
  <c r="J9" i="2"/>
  <c r="I8" i="2"/>
  <c r="I7" i="2" l="1"/>
  <c r="J7" i="2"/>
  <c r="J6" i="2"/>
  <c r="I6" i="2"/>
  <c r="J5" i="2" l="1"/>
  <c r="I5" i="2"/>
  <c r="Q36" i="2" l="1"/>
  <c r="G36" i="2"/>
  <c r="Q35" i="2"/>
  <c r="G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H34" i="2"/>
  <c r="G34" i="2"/>
  <c r="H33" i="2"/>
  <c r="G33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G19" i="2"/>
  <c r="H18" i="2"/>
  <c r="G18" i="2"/>
  <c r="H17" i="2"/>
  <c r="G17" i="2"/>
  <c r="H16" i="2"/>
  <c r="G16" i="2"/>
  <c r="J15" i="2"/>
  <c r="H15" i="2" s="1"/>
  <c r="G15" i="2"/>
  <c r="H14" i="2"/>
  <c r="G14" i="2"/>
  <c r="H13" i="2"/>
  <c r="G13" i="2"/>
  <c r="H12" i="2"/>
  <c r="G12" i="2"/>
  <c r="H11" i="2"/>
  <c r="G11" i="2"/>
  <c r="H10" i="2"/>
  <c r="G10" i="2"/>
  <c r="H9" i="2"/>
  <c r="G9" i="2"/>
  <c r="J8" i="2"/>
  <c r="H8" i="2" s="1"/>
  <c r="G8" i="2"/>
  <c r="G7" i="2"/>
  <c r="Q6" i="2"/>
  <c r="G6" i="2"/>
  <c r="Q5" i="2"/>
  <c r="G5" i="2"/>
  <c r="R7" i="2" l="1"/>
  <c r="T7" i="2" s="1"/>
  <c r="H7" i="2"/>
  <c r="R11" i="2"/>
  <c r="T11" i="2" s="1"/>
  <c r="R15" i="2"/>
  <c r="T15" i="2" s="1"/>
  <c r="R19" i="2"/>
  <c r="T19" i="2" s="1"/>
  <c r="R23" i="2"/>
  <c r="T23" i="2" s="1"/>
  <c r="R27" i="2"/>
  <c r="T27" i="2" s="1"/>
  <c r="R31" i="2"/>
  <c r="T31" i="2" s="1"/>
  <c r="R35" i="2"/>
  <c r="T35" i="2" s="1"/>
  <c r="R36" i="2"/>
  <c r="T36" i="2" s="1"/>
  <c r="R8" i="2"/>
  <c r="T8" i="2" s="1"/>
  <c r="R12" i="2"/>
  <c r="T12" i="2" s="1"/>
  <c r="R16" i="2"/>
  <c r="T16" i="2" s="1"/>
  <c r="R20" i="2"/>
  <c r="T20" i="2" s="1"/>
  <c r="R24" i="2"/>
  <c r="T24" i="2" s="1"/>
  <c r="R28" i="2"/>
  <c r="T28" i="2" s="1"/>
  <c r="R32" i="2"/>
  <c r="T32" i="2" s="1"/>
  <c r="R9" i="2"/>
  <c r="T9" i="2" s="1"/>
  <c r="R13" i="2"/>
  <c r="T13" i="2" s="1"/>
  <c r="R17" i="2"/>
  <c r="T17" i="2" s="1"/>
  <c r="R21" i="2"/>
  <c r="T21" i="2" s="1"/>
  <c r="R25" i="2"/>
  <c r="T25" i="2" s="1"/>
  <c r="R29" i="2"/>
  <c r="T29" i="2" s="1"/>
  <c r="R33" i="2"/>
  <c r="T33" i="2" s="1"/>
  <c r="H35" i="2"/>
  <c r="H36" i="2"/>
  <c r="R10" i="2"/>
  <c r="T10" i="2" s="1"/>
  <c r="R14" i="2"/>
  <c r="T14" i="2" s="1"/>
  <c r="R18" i="2"/>
  <c r="T18" i="2" s="1"/>
  <c r="R22" i="2"/>
  <c r="T22" i="2" s="1"/>
  <c r="R26" i="2"/>
  <c r="T26" i="2" s="1"/>
  <c r="R30" i="2"/>
  <c r="T30" i="2" s="1"/>
  <c r="R34" i="2"/>
  <c r="T34" i="2" s="1"/>
  <c r="R5" i="2"/>
  <c r="T5" i="2" s="1"/>
  <c r="R6" i="2"/>
  <c r="T6" i="2" s="1"/>
  <c r="H5" i="2"/>
  <c r="H6" i="2"/>
  <c r="H6" i="1"/>
  <c r="J6" i="1"/>
  <c r="I6" i="1"/>
  <c r="H5" i="1" l="1"/>
  <c r="I5" i="1"/>
  <c r="J5" i="1"/>
  <c r="Q6" i="1" l="1"/>
  <c r="Q5" i="1"/>
  <c r="G6" i="1" l="1"/>
  <c r="R6" i="1" s="1"/>
  <c r="T6" i="1" s="1"/>
  <c r="G5" i="1"/>
  <c r="R5" i="1" s="1"/>
</calcChain>
</file>

<file path=xl/comments1.xml><?xml version="1.0" encoding="utf-8"?>
<comments xmlns="http://schemas.openxmlformats.org/spreadsheetml/2006/main">
  <authors>
    <author>Автор</author>
  </authors>
  <commentList>
    <comment ref="L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целевые прибавить
</t>
        </r>
      </text>
    </comment>
  </commentList>
</comments>
</file>

<file path=xl/sharedStrings.xml><?xml version="1.0" encoding="utf-8"?>
<sst xmlns="http://schemas.openxmlformats.org/spreadsheetml/2006/main" count="226" uniqueCount="51">
  <si>
    <t>Адрес</t>
  </si>
  <si>
    <t>Отчетный период</t>
  </si>
  <si>
    <t>№ дома</t>
  </si>
  <si>
    <t>переплата потребителями</t>
  </si>
  <si>
    <t>задолженность потребителями</t>
  </si>
  <si>
    <t>всего</t>
  </si>
  <si>
    <t>Начислено за услуги (работ) по содержанию и ремонту</t>
  </si>
  <si>
    <t>№ п/п</t>
  </si>
  <si>
    <t>за содержание</t>
  </si>
  <si>
    <t>за ремонт</t>
  </si>
  <si>
    <t>за управление</t>
  </si>
  <si>
    <t xml:space="preserve">Получено денежных средств </t>
  </si>
  <si>
    <t>денежные средства от собственников/нанимателей</t>
  </si>
  <si>
    <t>целевых взносов от собственников/нанимателей</t>
  </si>
  <si>
    <t>субсидий</t>
  </si>
  <si>
    <t>ден.ср.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</si>
  <si>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</si>
  <si>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</si>
  <si>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</t>
  </si>
  <si>
    <t>задолженность потребителей</t>
  </si>
  <si>
    <t>Кузьмина</t>
  </si>
  <si>
    <t>Машезерская</t>
  </si>
  <si>
    <t>01.03.14-28.02.15</t>
  </si>
  <si>
    <t>Переходящие остатки денежных средств (на начало периода)</t>
  </si>
  <si>
    <t xml:space="preserve">Содержание и ремонт </t>
  </si>
  <si>
    <t>пр.А.Невского</t>
  </si>
  <si>
    <t>ул.Володарского</t>
  </si>
  <si>
    <t>ул.Загородная</t>
  </si>
  <si>
    <t>ул.Калинина</t>
  </si>
  <si>
    <t>50а</t>
  </si>
  <si>
    <t>пр.Комсомольский</t>
  </si>
  <si>
    <t>ул.Кузьмина</t>
  </si>
  <si>
    <t>ул.Л.Чайкиной</t>
  </si>
  <si>
    <t>ул.Лесная</t>
  </si>
  <si>
    <t>наб.Лососинская</t>
  </si>
  <si>
    <t>ул.Машезерская</t>
  </si>
  <si>
    <t>ул.М.Мерецкова</t>
  </si>
  <si>
    <t>ул.Станционная</t>
  </si>
  <si>
    <t>01.05.14-30.04.15</t>
  </si>
  <si>
    <t>01.04.14-31.03.15</t>
  </si>
  <si>
    <t>ул. Л.Чайкиной</t>
  </si>
  <si>
    <t>31а</t>
  </si>
  <si>
    <t>ул.Перттунена</t>
  </si>
  <si>
    <t>ул. Станционная</t>
  </si>
  <si>
    <t>целевые начисления собственникам/нанимателям</t>
  </si>
  <si>
    <t xml:space="preserve">переходящие остатки денежных средств </t>
  </si>
  <si>
    <t xml:space="preserve">авансовые платежи потребителей </t>
  </si>
  <si>
    <t>Переходящие остатки денежных средств (на конец периода)</t>
  </si>
  <si>
    <t>01.06.14-31.05.15</t>
  </si>
  <si>
    <t>30а</t>
  </si>
  <si>
    <t>48а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</si>
</sst>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2:U6"/>
  <sheetViews>
    <sheetView view="pageBreakPreview" topLeftCell="G1" zoomScale="80" zoomScaleNormal="80" zoomScaleSheetLayoutView="80" workbookViewId="0">
      <selection activeCell="U6" sqref="U6"/>
    </sheetView>
  </sheetViews>
  <sheetFormatPr defaultRowHeight="14.4" x14ac:dyDescent="0.3"/>
  <cols>
    <col min="1" max="1" width="5.21875" customWidth="1"/>
    <col min="2" max="2" width="15" customWidth="1"/>
    <col min="3" max="3" width="6.5546875" customWidth="1"/>
    <col min="4" max="4" width="15.33203125" customWidth="1"/>
    <col min="5" max="5" width="16.77734375" customWidth="1"/>
    <col min="6" max="6" width="16.21875" customWidth="1"/>
    <col min="7" max="7" width="14.6640625" customWidth="1"/>
    <col min="8" max="8" width="14.21875" customWidth="1"/>
    <col min="9" max="9" width="13" customWidth="1"/>
    <col min="10" max="10" width="12.109375" customWidth="1"/>
    <col min="11" max="11" width="12.21875" customWidth="1"/>
    <col min="12" max="12" width="14.77734375" customWidth="1"/>
    <col min="13" max="13" width="14.6640625" customWidth="1"/>
    <col min="14" max="14" width="11.21875" customWidth="1"/>
    <col min="15" max="15" width="13.21875" customWidth="1"/>
    <col min="16" max="16" width="12.21875" customWidth="1"/>
    <col min="17" max="17" width="10.44140625" bestFit="1" customWidth="1"/>
    <col min="18" max="18" width="10" customWidth="1"/>
    <col min="19" max="19" width="12.109375" customWidth="1"/>
    <col min="20" max="20" width="15.21875" customWidth="1"/>
    <col min="21" max="21" width="19.21875" customWidth="1"/>
  </cols>
  <sheetData>
    <row r="2" spans="1:21" x14ac:dyDescent="0.3">
      <c r="E2" t="s">
        <v>24</v>
      </c>
    </row>
    <row r="3" spans="1:21" ht="34.200000000000003" customHeight="1" x14ac:dyDescent="0.3">
      <c r="A3" s="23" t="s">
        <v>7</v>
      </c>
      <c r="B3" s="23" t="s">
        <v>0</v>
      </c>
      <c r="C3" s="23" t="s">
        <v>2</v>
      </c>
      <c r="D3" s="23" t="s">
        <v>1</v>
      </c>
      <c r="E3" s="21" t="s">
        <v>23</v>
      </c>
      <c r="F3" s="21"/>
      <c r="G3" s="21"/>
      <c r="H3" s="21" t="s">
        <v>6</v>
      </c>
      <c r="I3" s="21"/>
      <c r="J3" s="21"/>
      <c r="K3" s="21"/>
      <c r="L3" s="21" t="s">
        <v>11</v>
      </c>
      <c r="M3" s="21"/>
      <c r="N3" s="21"/>
      <c r="O3" s="21"/>
      <c r="P3" s="21"/>
      <c r="Q3" s="21"/>
      <c r="R3" s="21" t="s">
        <v>17</v>
      </c>
      <c r="S3" s="22" t="s">
        <v>18</v>
      </c>
      <c r="T3" s="22"/>
      <c r="U3" s="22"/>
    </row>
    <row r="4" spans="1:21" ht="61.8" customHeight="1" x14ac:dyDescent="0.3">
      <c r="A4" s="24"/>
      <c r="B4" s="24"/>
      <c r="C4" s="24"/>
      <c r="D4" s="24"/>
      <c r="E4" s="2" t="s">
        <v>3</v>
      </c>
      <c r="F4" s="2" t="s">
        <v>4</v>
      </c>
      <c r="G4" s="2" t="s">
        <v>5</v>
      </c>
      <c r="H4" s="3" t="s">
        <v>8</v>
      </c>
      <c r="I4" s="3" t="s">
        <v>9</v>
      </c>
      <c r="J4" s="3" t="s">
        <v>10</v>
      </c>
      <c r="K4" s="2" t="s">
        <v>5</v>
      </c>
      <c r="L4" s="2" t="s">
        <v>12</v>
      </c>
      <c r="M4" s="2" t="s">
        <v>13</v>
      </c>
      <c r="N4" s="2" t="s">
        <v>14</v>
      </c>
      <c r="O4" s="2" t="s">
        <v>15</v>
      </c>
      <c r="P4" s="2" t="s">
        <v>16</v>
      </c>
      <c r="Q4" s="2" t="s">
        <v>5</v>
      </c>
      <c r="R4" s="21"/>
      <c r="S4" s="3" t="s">
        <v>3</v>
      </c>
      <c r="T4" s="3" t="s">
        <v>19</v>
      </c>
      <c r="U4" s="3" t="s">
        <v>5</v>
      </c>
    </row>
    <row r="5" spans="1:21" s="1" customFormat="1" ht="28.8" x14ac:dyDescent="0.3">
      <c r="A5" s="2">
        <v>1</v>
      </c>
      <c r="B5" s="2" t="s">
        <v>20</v>
      </c>
      <c r="C5" s="2">
        <v>37</v>
      </c>
      <c r="D5" s="2" t="s">
        <v>22</v>
      </c>
      <c r="E5" s="2">
        <v>0</v>
      </c>
      <c r="F5" s="2">
        <v>84477.03</v>
      </c>
      <c r="G5" s="2">
        <f>E5+F5</f>
        <v>84477.03</v>
      </c>
      <c r="H5" s="5">
        <f>K5-(I5+J5)</f>
        <v>300579.27360000001</v>
      </c>
      <c r="I5" s="5">
        <f>K5*18%</f>
        <v>87264.950400000002</v>
      </c>
      <c r="J5" s="5">
        <f>K5*20%</f>
        <v>96961.056000000011</v>
      </c>
      <c r="K5" s="2">
        <v>484805.28</v>
      </c>
      <c r="L5" s="2">
        <v>465165.24</v>
      </c>
      <c r="M5" s="2">
        <v>0</v>
      </c>
      <c r="N5" s="2">
        <v>0</v>
      </c>
      <c r="O5" s="2">
        <v>0</v>
      </c>
      <c r="P5" s="2">
        <v>0</v>
      </c>
      <c r="Q5" s="2">
        <f>L5+M5+N5+O5+P5</f>
        <v>465165.24</v>
      </c>
      <c r="R5" s="2">
        <f>G5+K5-Q5</f>
        <v>104117.07000000007</v>
      </c>
      <c r="S5" s="2">
        <v>0</v>
      </c>
      <c r="T5" s="20">
        <f>R5</f>
        <v>104117.07000000007</v>
      </c>
      <c r="U5" s="2">
        <f>G5+K5-Q5</f>
        <v>104117.07000000007</v>
      </c>
    </row>
    <row r="6" spans="1:21" s="1" customFormat="1" ht="28.8" x14ac:dyDescent="0.3">
      <c r="A6" s="2">
        <v>1</v>
      </c>
      <c r="B6" s="2" t="s">
        <v>21</v>
      </c>
      <c r="C6" s="2">
        <v>5</v>
      </c>
      <c r="D6" s="2" t="s">
        <v>22</v>
      </c>
      <c r="E6" s="2">
        <v>0</v>
      </c>
      <c r="F6" s="2">
        <v>95652.12</v>
      </c>
      <c r="G6" s="2">
        <f>E6+F6</f>
        <v>95652.12</v>
      </c>
      <c r="H6" s="5">
        <f>K6-(I6+J6)</f>
        <v>365829.71039999998</v>
      </c>
      <c r="I6" s="2">
        <f>K6*6.6%</f>
        <v>32894.7696</v>
      </c>
      <c r="J6" s="2">
        <f>K6*20%</f>
        <v>99681.12</v>
      </c>
      <c r="K6" s="2">
        <v>498405.6</v>
      </c>
      <c r="L6" s="2">
        <v>477143.44</v>
      </c>
      <c r="M6" s="2">
        <v>0</v>
      </c>
      <c r="N6" s="2">
        <v>0</v>
      </c>
      <c r="O6" s="2">
        <v>0</v>
      </c>
      <c r="P6" s="2">
        <v>0</v>
      </c>
      <c r="Q6" s="2">
        <f>L6+M6+N6+O6+P6</f>
        <v>477143.44</v>
      </c>
      <c r="R6" s="2">
        <f>G6+K6-Q6</f>
        <v>116914.27999999997</v>
      </c>
      <c r="S6" s="2">
        <v>0</v>
      </c>
      <c r="T6" s="2">
        <f>R6</f>
        <v>116914.27999999997</v>
      </c>
      <c r="U6" s="20">
        <f>G6+K6-Q6</f>
        <v>116914.27999999997</v>
      </c>
    </row>
  </sheetData>
  <mergeCells count="9">
    <mergeCell ref="H3:K3"/>
    <mergeCell ref="L3:Q3"/>
    <mergeCell ref="R3:R4"/>
    <mergeCell ref="S3:U3"/>
    <mergeCell ref="A3:A4"/>
    <mergeCell ref="B3:B4"/>
    <mergeCell ref="C3:C4"/>
    <mergeCell ref="D3:D4"/>
    <mergeCell ref="E3:G3"/>
  </mergeCells>
  <pageMargins left="0.23622047244094491" right="0.23622047244094491" top="0.74803149606299213" bottom="0.74803149606299213" header="0.31496062992125984" footer="0.31496062992125984"/>
  <pageSetup paperSize="9" scale="6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2:U36"/>
  <sheetViews>
    <sheetView view="pageBreakPreview" topLeftCell="B23" zoomScale="80" zoomScaleNormal="100" zoomScaleSheetLayoutView="80" workbookViewId="0">
      <pane xSplit="2" topLeftCell="H1" activePane="topRight" state="frozen"/>
      <selection activeCell="B1" sqref="B1"/>
      <selection pane="topRight" activeCell="U6" sqref="U6:U36"/>
    </sheetView>
  </sheetViews>
  <sheetFormatPr defaultRowHeight="14.4" x14ac:dyDescent="0.3"/>
  <cols>
    <col min="1" max="1" width="5.21875" customWidth="1"/>
    <col min="2" max="2" width="18.6640625" customWidth="1"/>
    <col min="3" max="3" width="6.5546875" style="9" customWidth="1"/>
    <col min="4" max="4" width="15.33203125" customWidth="1"/>
    <col min="5" max="5" width="16.77734375" customWidth="1"/>
    <col min="6" max="6" width="16.21875" customWidth="1"/>
    <col min="7" max="7" width="14.6640625" customWidth="1"/>
    <col min="8" max="8" width="14.21875" customWidth="1"/>
    <col min="9" max="9" width="13" customWidth="1"/>
    <col min="10" max="10" width="12.109375" customWidth="1"/>
    <col min="11" max="11" width="12.21875" customWidth="1"/>
    <col min="12" max="12" width="14.77734375" customWidth="1"/>
    <col min="13" max="13" width="14.6640625" customWidth="1"/>
    <col min="14" max="14" width="11.21875" customWidth="1"/>
    <col min="15" max="15" width="14.6640625" customWidth="1"/>
    <col min="16" max="16" width="12.21875" customWidth="1"/>
    <col min="17" max="17" width="10.44140625" bestFit="1" customWidth="1"/>
    <col min="18" max="18" width="10" customWidth="1"/>
    <col min="19" max="19" width="12.109375" customWidth="1"/>
    <col min="20" max="20" width="15.21875" customWidth="1"/>
    <col min="21" max="21" width="19.21875" customWidth="1"/>
  </cols>
  <sheetData>
    <row r="2" spans="1:21" x14ac:dyDescent="0.3">
      <c r="E2" t="s">
        <v>24</v>
      </c>
    </row>
    <row r="3" spans="1:21" ht="34.200000000000003" customHeight="1" x14ac:dyDescent="0.3">
      <c r="A3" s="23" t="s">
        <v>7</v>
      </c>
      <c r="B3" s="23" t="s">
        <v>0</v>
      </c>
      <c r="C3" s="23" t="s">
        <v>2</v>
      </c>
      <c r="D3" s="23" t="s">
        <v>1</v>
      </c>
      <c r="E3" s="21" t="s">
        <v>23</v>
      </c>
      <c r="F3" s="21"/>
      <c r="G3" s="21"/>
      <c r="H3" s="21" t="s">
        <v>6</v>
      </c>
      <c r="I3" s="21"/>
      <c r="J3" s="21"/>
      <c r="K3" s="21"/>
      <c r="L3" s="21" t="s">
        <v>11</v>
      </c>
      <c r="M3" s="21"/>
      <c r="N3" s="21"/>
      <c r="O3" s="21"/>
      <c r="P3" s="21"/>
      <c r="Q3" s="21"/>
      <c r="R3" s="21" t="s">
        <v>17</v>
      </c>
      <c r="S3" s="22" t="s">
        <v>18</v>
      </c>
      <c r="T3" s="22"/>
      <c r="U3" s="22"/>
    </row>
    <row r="4" spans="1:21" ht="61.8" customHeight="1" x14ac:dyDescent="0.3">
      <c r="A4" s="24"/>
      <c r="B4" s="24"/>
      <c r="C4" s="24"/>
      <c r="D4" s="24"/>
      <c r="E4" s="4" t="s">
        <v>3</v>
      </c>
      <c r="F4" s="4" t="s">
        <v>4</v>
      </c>
      <c r="G4" s="4" t="s">
        <v>5</v>
      </c>
      <c r="H4" s="3" t="s">
        <v>8</v>
      </c>
      <c r="I4" s="3" t="s">
        <v>9</v>
      </c>
      <c r="J4" s="3" t="s">
        <v>10</v>
      </c>
      <c r="K4" s="4" t="s">
        <v>5</v>
      </c>
      <c r="L4" s="4" t="s">
        <v>12</v>
      </c>
      <c r="M4" s="4" t="s">
        <v>13</v>
      </c>
      <c r="N4" s="4" t="s">
        <v>14</v>
      </c>
      <c r="O4" s="4" t="s">
        <v>15</v>
      </c>
      <c r="P4" s="4" t="s">
        <v>16</v>
      </c>
      <c r="Q4" s="4" t="s">
        <v>5</v>
      </c>
      <c r="R4" s="21"/>
      <c r="S4" s="3" t="s">
        <v>3</v>
      </c>
      <c r="T4" s="3" t="s">
        <v>19</v>
      </c>
      <c r="U4" s="3" t="s">
        <v>5</v>
      </c>
    </row>
    <row r="5" spans="1:21" s="1" customFormat="1" ht="28.8" x14ac:dyDescent="0.3">
      <c r="A5" s="4">
        <v>1</v>
      </c>
      <c r="B5" s="4" t="s">
        <v>25</v>
      </c>
      <c r="C5" s="4">
        <v>42</v>
      </c>
      <c r="D5" s="4" t="s">
        <v>39</v>
      </c>
      <c r="E5" s="4"/>
      <c r="F5" s="4">
        <v>8618.19</v>
      </c>
      <c r="G5" s="4">
        <f>E5+F5</f>
        <v>8618.19</v>
      </c>
      <c r="H5" s="5">
        <f>K5-(I5+J5)</f>
        <v>131459.73969999998</v>
      </c>
      <c r="I5" s="12">
        <f>K5*8%</f>
        <v>17240.621599999999</v>
      </c>
      <c r="J5" s="5">
        <f>K5*31%</f>
        <v>66807.4087</v>
      </c>
      <c r="K5" s="4">
        <v>215507.77</v>
      </c>
      <c r="L5" s="4">
        <v>201429.25</v>
      </c>
      <c r="M5" s="4">
        <v>0</v>
      </c>
      <c r="N5" s="4">
        <v>0</v>
      </c>
      <c r="O5" s="4">
        <v>0</v>
      </c>
      <c r="P5" s="4">
        <v>0</v>
      </c>
      <c r="Q5" s="4">
        <f>L5+M5+N5+O5+P5</f>
        <v>201429.25</v>
      </c>
      <c r="R5" s="4">
        <f>G5+K5-Q5</f>
        <v>22696.709999999992</v>
      </c>
      <c r="S5" s="4">
        <v>0</v>
      </c>
      <c r="T5" s="4">
        <f>R5</f>
        <v>22696.709999999992</v>
      </c>
      <c r="U5" s="4">
        <f>G5+K5-Q5</f>
        <v>22696.709999999992</v>
      </c>
    </row>
    <row r="6" spans="1:21" s="1" customFormat="1" ht="28.8" x14ac:dyDescent="0.3">
      <c r="A6" s="4">
        <v>2</v>
      </c>
      <c r="B6" s="4" t="s">
        <v>25</v>
      </c>
      <c r="C6" s="4">
        <v>46</v>
      </c>
      <c r="D6" s="13" t="s">
        <v>39</v>
      </c>
      <c r="E6" s="4"/>
      <c r="F6" s="6">
        <v>81782.929999999993</v>
      </c>
      <c r="G6" s="4">
        <f>E6+F6</f>
        <v>81782.929999999993</v>
      </c>
      <c r="H6" s="5">
        <f>K6-(I6+J6)</f>
        <v>291054.90600000002</v>
      </c>
      <c r="I6" s="12">
        <f>K6*17.5%</f>
        <v>84891.014249999993</v>
      </c>
      <c r="J6" s="5">
        <f>K6*22.5%</f>
        <v>109145.58975</v>
      </c>
      <c r="K6" s="4">
        <v>485091.51</v>
      </c>
      <c r="L6" s="4">
        <v>504373.35</v>
      </c>
      <c r="M6" s="4">
        <v>0</v>
      </c>
      <c r="N6" s="4">
        <v>0</v>
      </c>
      <c r="O6" s="4">
        <v>0</v>
      </c>
      <c r="P6" s="4">
        <v>0</v>
      </c>
      <c r="Q6" s="4">
        <f>L6+M6+N6+O6+P6</f>
        <v>504373.35</v>
      </c>
      <c r="R6" s="4">
        <f>G6+K6-Q6</f>
        <v>62501.089999999967</v>
      </c>
      <c r="S6" s="4">
        <v>0</v>
      </c>
      <c r="T6" s="4">
        <f>R6</f>
        <v>62501.089999999967</v>
      </c>
      <c r="U6" s="20">
        <f t="shared" ref="U6:U36" si="0">G6+K6-Q6</f>
        <v>62501.089999999967</v>
      </c>
    </row>
    <row r="7" spans="1:21" ht="28.8" x14ac:dyDescent="0.3">
      <c r="A7" s="4">
        <v>3</v>
      </c>
      <c r="B7" s="4" t="s">
        <v>25</v>
      </c>
      <c r="C7" s="10">
        <v>67</v>
      </c>
      <c r="D7" s="13" t="s">
        <v>39</v>
      </c>
      <c r="E7" s="8"/>
      <c r="F7" s="7">
        <v>302055.71000000002</v>
      </c>
      <c r="G7" s="4">
        <f>E7+F7</f>
        <v>302055.71000000002</v>
      </c>
      <c r="H7" s="5">
        <f>K7-(I7+J7)</f>
        <v>461246.68742000003</v>
      </c>
      <c r="I7" s="12">
        <f>K7*7.4%</f>
        <v>46187.08372000001</v>
      </c>
      <c r="J7" s="5">
        <f>K7*18.7%</f>
        <v>116716.00886</v>
      </c>
      <c r="K7" s="10">
        <v>624149.78</v>
      </c>
      <c r="L7" s="11">
        <v>685889.95</v>
      </c>
      <c r="M7" s="4">
        <v>0</v>
      </c>
      <c r="N7" s="4">
        <v>0</v>
      </c>
      <c r="O7" s="4">
        <v>0</v>
      </c>
      <c r="P7" s="4">
        <v>0</v>
      </c>
      <c r="Q7" s="4">
        <f t="shared" ref="Q7:Q34" si="1">L7+M7+N7+O7+P7</f>
        <v>685889.95</v>
      </c>
      <c r="R7" s="4">
        <f t="shared" ref="R7:R34" si="2">G7+K7-Q7</f>
        <v>240315.54000000004</v>
      </c>
      <c r="S7" s="4">
        <v>0</v>
      </c>
      <c r="T7" s="4">
        <f t="shared" ref="T7:T34" si="3">R7</f>
        <v>240315.54000000004</v>
      </c>
      <c r="U7" s="20">
        <f t="shared" si="0"/>
        <v>240315.54000000004</v>
      </c>
    </row>
    <row r="8" spans="1:21" ht="28.8" x14ac:dyDescent="0.3">
      <c r="A8" s="4">
        <v>4</v>
      </c>
      <c r="B8" s="10" t="s">
        <v>26</v>
      </c>
      <c r="C8" s="10">
        <v>25</v>
      </c>
      <c r="D8" s="13" t="s">
        <v>39</v>
      </c>
      <c r="E8" s="8"/>
      <c r="F8" s="7">
        <v>371484.09</v>
      </c>
      <c r="G8" s="4">
        <f>E8+F8</f>
        <v>371484.09</v>
      </c>
      <c r="H8" s="5">
        <f>K8-(I8+J8)</f>
        <v>721200.43744000001</v>
      </c>
      <c r="I8" s="12">
        <f>K8*19.2%</f>
        <v>227747.50655999998</v>
      </c>
      <c r="J8" s="5">
        <f>K8*20%</f>
        <v>237236.986</v>
      </c>
      <c r="K8" s="10">
        <v>1186184.93</v>
      </c>
      <c r="L8" s="11">
        <v>1154872.6000000001</v>
      </c>
      <c r="M8" s="4">
        <v>0</v>
      </c>
      <c r="N8" s="4">
        <v>0</v>
      </c>
      <c r="O8" s="4">
        <v>0</v>
      </c>
      <c r="P8" s="4">
        <v>0</v>
      </c>
      <c r="Q8" s="4">
        <f t="shared" si="1"/>
        <v>1154872.6000000001</v>
      </c>
      <c r="R8" s="4">
        <f t="shared" si="2"/>
        <v>402796.41999999993</v>
      </c>
      <c r="S8" s="4">
        <v>0</v>
      </c>
      <c r="T8" s="4">
        <f t="shared" si="3"/>
        <v>402796.41999999993</v>
      </c>
      <c r="U8" s="20">
        <f t="shared" si="0"/>
        <v>402796.41999999993</v>
      </c>
    </row>
    <row r="9" spans="1:21" s="9" customFormat="1" ht="28.8" x14ac:dyDescent="0.3">
      <c r="A9" s="4">
        <v>5</v>
      </c>
      <c r="B9" s="10" t="s">
        <v>26</v>
      </c>
      <c r="C9" s="10">
        <v>43</v>
      </c>
      <c r="D9" s="13" t="s">
        <v>39</v>
      </c>
      <c r="E9" s="10"/>
      <c r="F9" s="10">
        <v>69268.25</v>
      </c>
      <c r="G9" s="4">
        <f t="shared" ref="G9:G34" si="4">E9+F9</f>
        <v>69268.25</v>
      </c>
      <c r="H9" s="5">
        <f t="shared" ref="H9:H34" si="5">K9-(I9+J9)</f>
        <v>325096.653024</v>
      </c>
      <c r="I9" s="12">
        <f>K9*15.9%</f>
        <v>86035.898520000002</v>
      </c>
      <c r="J9" s="5">
        <f>K9*24.02%</f>
        <v>129973.72845600001</v>
      </c>
      <c r="K9" s="10">
        <v>541106.28</v>
      </c>
      <c r="L9" s="10">
        <v>502275.73</v>
      </c>
      <c r="M9" s="4">
        <v>0</v>
      </c>
      <c r="N9" s="4">
        <v>0</v>
      </c>
      <c r="O9" s="4">
        <v>0</v>
      </c>
      <c r="P9" s="4">
        <v>0</v>
      </c>
      <c r="Q9" s="4">
        <f t="shared" si="1"/>
        <v>502275.73</v>
      </c>
      <c r="R9" s="4">
        <f t="shared" si="2"/>
        <v>108098.80000000005</v>
      </c>
      <c r="S9" s="4">
        <v>0</v>
      </c>
      <c r="T9" s="4">
        <f t="shared" si="3"/>
        <v>108098.80000000005</v>
      </c>
      <c r="U9" s="20">
        <f t="shared" si="0"/>
        <v>108098.80000000005</v>
      </c>
    </row>
    <row r="10" spans="1:21" s="9" customFormat="1" ht="28.8" x14ac:dyDescent="0.3">
      <c r="A10" s="4">
        <v>6</v>
      </c>
      <c r="B10" s="10" t="s">
        <v>26</v>
      </c>
      <c r="C10" s="10">
        <v>45</v>
      </c>
      <c r="D10" s="13" t="s">
        <v>39</v>
      </c>
      <c r="E10" s="10"/>
      <c r="F10" s="10">
        <v>59730.04</v>
      </c>
      <c r="G10" s="4">
        <f t="shared" si="4"/>
        <v>59730.04</v>
      </c>
      <c r="H10" s="5">
        <f t="shared" si="5"/>
        <v>263745.78698999999</v>
      </c>
      <c r="I10" s="12">
        <f>K10*22.1%</f>
        <v>105785.51529</v>
      </c>
      <c r="J10" s="5">
        <f>K10*22.8%</f>
        <v>109136.18772</v>
      </c>
      <c r="K10" s="10">
        <v>478667.49</v>
      </c>
      <c r="L10" s="10">
        <v>426356.16</v>
      </c>
      <c r="M10" s="4">
        <v>0</v>
      </c>
      <c r="N10" s="4">
        <v>0</v>
      </c>
      <c r="O10" s="4">
        <v>0</v>
      </c>
      <c r="P10" s="4">
        <v>0</v>
      </c>
      <c r="Q10" s="4">
        <f t="shared" si="1"/>
        <v>426356.16</v>
      </c>
      <c r="R10" s="4">
        <f t="shared" si="2"/>
        <v>112041.37000000005</v>
      </c>
      <c r="S10" s="4">
        <v>0</v>
      </c>
      <c r="T10" s="4">
        <f t="shared" si="3"/>
        <v>112041.37000000005</v>
      </c>
      <c r="U10" s="20">
        <f t="shared" si="0"/>
        <v>112041.37000000005</v>
      </c>
    </row>
    <row r="11" spans="1:21" s="9" customFormat="1" ht="28.8" x14ac:dyDescent="0.3">
      <c r="A11" s="4">
        <v>7</v>
      </c>
      <c r="B11" s="10" t="s">
        <v>27</v>
      </c>
      <c r="C11" s="10">
        <v>22</v>
      </c>
      <c r="D11" s="13" t="s">
        <v>39</v>
      </c>
      <c r="E11" s="10"/>
      <c r="F11" s="10">
        <v>82187.83</v>
      </c>
      <c r="G11" s="4">
        <f t="shared" si="4"/>
        <v>82187.83</v>
      </c>
      <c r="H11" s="5">
        <f t="shared" si="5"/>
        <v>507390.85879999993</v>
      </c>
      <c r="I11" s="12">
        <f>K11*20.3%</f>
        <v>179443.10860000001</v>
      </c>
      <c r="J11" s="5">
        <f>K11*22.3%</f>
        <v>197122.23259999999</v>
      </c>
      <c r="K11" s="10">
        <v>883956.2</v>
      </c>
      <c r="L11" s="10">
        <v>878147.31</v>
      </c>
      <c r="M11" s="4">
        <v>0</v>
      </c>
      <c r="N11" s="4">
        <v>0</v>
      </c>
      <c r="O11" s="4">
        <v>45762.76</v>
      </c>
      <c r="P11" s="4">
        <v>0</v>
      </c>
      <c r="Q11" s="4">
        <f t="shared" si="1"/>
        <v>923910.07000000007</v>
      </c>
      <c r="R11" s="4">
        <f t="shared" si="2"/>
        <v>42233.959999999846</v>
      </c>
      <c r="S11" s="4">
        <v>0</v>
      </c>
      <c r="T11" s="4">
        <f t="shared" si="3"/>
        <v>42233.959999999846</v>
      </c>
      <c r="U11" s="20">
        <f t="shared" si="0"/>
        <v>42233.959999999846</v>
      </c>
    </row>
    <row r="12" spans="1:21" s="9" customFormat="1" ht="28.8" x14ac:dyDescent="0.3">
      <c r="A12" s="4">
        <v>8</v>
      </c>
      <c r="B12" s="10" t="s">
        <v>27</v>
      </c>
      <c r="C12" s="10">
        <v>24</v>
      </c>
      <c r="D12" s="13" t="s">
        <v>39</v>
      </c>
      <c r="E12" s="10"/>
      <c r="F12" s="10">
        <v>85175.25</v>
      </c>
      <c r="G12" s="4">
        <f t="shared" si="4"/>
        <v>85175.25</v>
      </c>
      <c r="H12" s="5">
        <f t="shared" si="5"/>
        <v>638862.44400000002</v>
      </c>
      <c r="I12" s="12">
        <f>K12*15.9%</f>
        <v>164367.522</v>
      </c>
      <c r="J12" s="5">
        <f>K12*22.3%</f>
        <v>230528.03400000001</v>
      </c>
      <c r="K12" s="10">
        <v>1033758</v>
      </c>
      <c r="L12" s="10">
        <v>1007023.85</v>
      </c>
      <c r="M12" s="4">
        <v>0</v>
      </c>
      <c r="N12" s="4">
        <v>0</v>
      </c>
      <c r="O12" s="4">
        <v>0</v>
      </c>
      <c r="P12" s="4">
        <v>0</v>
      </c>
      <c r="Q12" s="4">
        <f t="shared" si="1"/>
        <v>1007023.85</v>
      </c>
      <c r="R12" s="4">
        <f t="shared" si="2"/>
        <v>111909.40000000002</v>
      </c>
      <c r="S12" s="4">
        <v>0</v>
      </c>
      <c r="T12" s="4">
        <f t="shared" si="3"/>
        <v>111909.40000000002</v>
      </c>
      <c r="U12" s="20">
        <f t="shared" si="0"/>
        <v>111909.40000000002</v>
      </c>
    </row>
    <row r="13" spans="1:21" s="9" customFormat="1" ht="28.8" x14ac:dyDescent="0.3">
      <c r="A13" s="4">
        <v>9</v>
      </c>
      <c r="B13" s="10" t="s">
        <v>28</v>
      </c>
      <c r="C13" s="10">
        <v>26</v>
      </c>
      <c r="D13" s="13" t="s">
        <v>39</v>
      </c>
      <c r="E13" s="10"/>
      <c r="F13" s="10">
        <v>122856.69</v>
      </c>
      <c r="G13" s="4">
        <f t="shared" si="4"/>
        <v>122856.69</v>
      </c>
      <c r="H13" s="5">
        <f t="shared" si="5"/>
        <v>387279.38927999994</v>
      </c>
      <c r="I13" s="12">
        <f>K13*20.5%</f>
        <v>137119.64559999999</v>
      </c>
      <c r="J13" s="5">
        <f>K13*21.6%</f>
        <v>144477.28512000002</v>
      </c>
      <c r="K13" s="10">
        <v>668876.31999999995</v>
      </c>
      <c r="L13" s="10">
        <v>620543.06000000006</v>
      </c>
      <c r="M13" s="4">
        <v>0</v>
      </c>
      <c r="N13" s="4">
        <v>0</v>
      </c>
      <c r="O13" s="4">
        <v>0</v>
      </c>
      <c r="P13" s="4">
        <v>0</v>
      </c>
      <c r="Q13" s="4">
        <f t="shared" si="1"/>
        <v>620543.06000000006</v>
      </c>
      <c r="R13" s="4">
        <f t="shared" si="2"/>
        <v>171189.94999999995</v>
      </c>
      <c r="S13" s="4">
        <v>0</v>
      </c>
      <c r="T13" s="4">
        <f t="shared" si="3"/>
        <v>171189.94999999995</v>
      </c>
      <c r="U13" s="20">
        <f t="shared" si="0"/>
        <v>171189.94999999995</v>
      </c>
    </row>
    <row r="14" spans="1:21" s="9" customFormat="1" ht="28.8" x14ac:dyDescent="0.3">
      <c r="A14" s="4">
        <v>10</v>
      </c>
      <c r="B14" s="10" t="s">
        <v>28</v>
      </c>
      <c r="C14" s="10">
        <v>28</v>
      </c>
      <c r="D14" s="13" t="s">
        <v>39</v>
      </c>
      <c r="E14" s="10"/>
      <c r="F14" s="10">
        <v>139394.28</v>
      </c>
      <c r="G14" s="4">
        <f t="shared" si="4"/>
        <v>139394.28</v>
      </c>
      <c r="H14" s="5">
        <f t="shared" si="5"/>
        <v>391426.06276</v>
      </c>
      <c r="I14" s="12">
        <f>K14*22.6%</f>
        <v>159104.83846</v>
      </c>
      <c r="J14" s="5">
        <f>K14*21.8%</f>
        <v>153472.80877999999</v>
      </c>
      <c r="K14" s="10">
        <v>704003.71</v>
      </c>
      <c r="L14" s="10">
        <v>706956.83</v>
      </c>
      <c r="M14" s="4">
        <v>0</v>
      </c>
      <c r="N14" s="4">
        <v>0</v>
      </c>
      <c r="O14" s="4">
        <v>0</v>
      </c>
      <c r="P14" s="4">
        <v>0</v>
      </c>
      <c r="Q14" s="4">
        <f t="shared" si="1"/>
        <v>706956.83</v>
      </c>
      <c r="R14" s="4">
        <f t="shared" si="2"/>
        <v>136441.16000000003</v>
      </c>
      <c r="S14" s="4">
        <v>0</v>
      </c>
      <c r="T14" s="4">
        <f t="shared" si="3"/>
        <v>136441.16000000003</v>
      </c>
      <c r="U14" s="20">
        <f t="shared" si="0"/>
        <v>136441.16000000003</v>
      </c>
    </row>
    <row r="15" spans="1:21" s="9" customFormat="1" ht="28.8" x14ac:dyDescent="0.3">
      <c r="A15" s="4">
        <v>11</v>
      </c>
      <c r="B15" s="10" t="s">
        <v>28</v>
      </c>
      <c r="C15" s="10">
        <v>48</v>
      </c>
      <c r="D15" s="13" t="s">
        <v>39</v>
      </c>
      <c r="E15" s="10"/>
      <c r="F15" s="10">
        <v>349477.32</v>
      </c>
      <c r="G15" s="4">
        <f t="shared" si="4"/>
        <v>349477.32</v>
      </c>
      <c r="H15" s="5">
        <f t="shared" si="5"/>
        <v>436634.41800000001</v>
      </c>
      <c r="I15" s="12">
        <f>K15*20%</f>
        <v>145544.80600000001</v>
      </c>
      <c r="J15" s="5">
        <f t="shared" ref="J15" si="6">K15*20%</f>
        <v>145544.80600000001</v>
      </c>
      <c r="K15" s="10">
        <v>727724.03</v>
      </c>
      <c r="L15" s="10">
        <v>620644.68000000005</v>
      </c>
      <c r="M15" s="4">
        <v>0</v>
      </c>
      <c r="N15" s="4">
        <v>0</v>
      </c>
      <c r="O15" s="4">
        <v>0</v>
      </c>
      <c r="P15" s="4">
        <v>0</v>
      </c>
      <c r="Q15" s="4">
        <f t="shared" si="1"/>
        <v>620644.68000000005</v>
      </c>
      <c r="R15" s="4">
        <f t="shared" si="2"/>
        <v>456556.67000000004</v>
      </c>
      <c r="S15" s="4">
        <v>0</v>
      </c>
      <c r="T15" s="4">
        <f t="shared" si="3"/>
        <v>456556.67000000004</v>
      </c>
      <c r="U15" s="20">
        <f t="shared" si="0"/>
        <v>456556.67000000004</v>
      </c>
    </row>
    <row r="16" spans="1:21" s="9" customFormat="1" ht="28.8" x14ac:dyDescent="0.3">
      <c r="A16" s="4">
        <v>12</v>
      </c>
      <c r="B16" s="10" t="s">
        <v>28</v>
      </c>
      <c r="C16" s="10" t="s">
        <v>29</v>
      </c>
      <c r="D16" s="13" t="s">
        <v>39</v>
      </c>
      <c r="E16" s="10"/>
      <c r="F16" s="10">
        <v>46122.42</v>
      </c>
      <c r="G16" s="4">
        <f t="shared" si="4"/>
        <v>46122.42</v>
      </c>
      <c r="H16" s="5">
        <f t="shared" si="5"/>
        <v>233838.90386999998</v>
      </c>
      <c r="I16" s="12">
        <f>K16*15.3%</f>
        <v>57061.167929999996</v>
      </c>
      <c r="J16" s="5">
        <f>K16*22%</f>
        <v>82048.738200000007</v>
      </c>
      <c r="K16" s="10">
        <v>372948.81</v>
      </c>
      <c r="L16" s="10">
        <v>390238.89</v>
      </c>
      <c r="M16" s="4">
        <v>13688.06</v>
      </c>
      <c r="N16" s="4">
        <v>0</v>
      </c>
      <c r="O16" s="4">
        <v>0</v>
      </c>
      <c r="P16" s="4">
        <v>0</v>
      </c>
      <c r="Q16" s="4">
        <f t="shared" si="1"/>
        <v>403926.95</v>
      </c>
      <c r="R16" s="4">
        <f t="shared" si="2"/>
        <v>15144.27999999997</v>
      </c>
      <c r="S16" s="4">
        <v>0</v>
      </c>
      <c r="T16" s="4">
        <f t="shared" si="3"/>
        <v>15144.27999999997</v>
      </c>
      <c r="U16" s="20">
        <f t="shared" si="0"/>
        <v>15144.27999999997</v>
      </c>
    </row>
    <row r="17" spans="1:21" s="9" customFormat="1" ht="28.8" x14ac:dyDescent="0.3">
      <c r="A17" s="4">
        <v>13</v>
      </c>
      <c r="B17" s="10" t="s">
        <v>30</v>
      </c>
      <c r="C17" s="10">
        <v>9</v>
      </c>
      <c r="D17" s="13" t="s">
        <v>39</v>
      </c>
      <c r="E17" s="10"/>
      <c r="F17" s="10">
        <v>138696.13</v>
      </c>
      <c r="G17" s="4">
        <f t="shared" si="4"/>
        <v>138696.13</v>
      </c>
      <c r="H17" s="5">
        <f t="shared" si="5"/>
        <v>645574.72059000004</v>
      </c>
      <c r="I17" s="12">
        <f>K17*6.7%</f>
        <v>60157.866870000005</v>
      </c>
      <c r="J17" s="5">
        <f>K17*21.4%</f>
        <v>192146.02254000001</v>
      </c>
      <c r="K17" s="10">
        <v>897878.61</v>
      </c>
      <c r="L17" s="10">
        <v>842928.35</v>
      </c>
      <c r="M17" s="4">
        <v>0</v>
      </c>
      <c r="N17" s="4">
        <v>0</v>
      </c>
      <c r="O17" s="4">
        <v>0</v>
      </c>
      <c r="P17" s="4">
        <v>0</v>
      </c>
      <c r="Q17" s="4">
        <f t="shared" si="1"/>
        <v>842928.35</v>
      </c>
      <c r="R17" s="4">
        <f t="shared" si="2"/>
        <v>193646.39</v>
      </c>
      <c r="S17" s="4">
        <v>0</v>
      </c>
      <c r="T17" s="4">
        <f t="shared" si="3"/>
        <v>193646.39</v>
      </c>
      <c r="U17" s="20">
        <f t="shared" si="0"/>
        <v>193646.39</v>
      </c>
    </row>
    <row r="18" spans="1:21" s="9" customFormat="1" ht="28.8" x14ac:dyDescent="0.3">
      <c r="A18" s="4">
        <v>14</v>
      </c>
      <c r="B18" s="10" t="s">
        <v>31</v>
      </c>
      <c r="C18" s="10">
        <v>39</v>
      </c>
      <c r="D18" s="13" t="s">
        <v>39</v>
      </c>
      <c r="E18" s="10"/>
      <c r="F18" s="10">
        <v>151867.84</v>
      </c>
      <c r="G18" s="4">
        <f t="shared" si="4"/>
        <v>151867.84</v>
      </c>
      <c r="H18" s="5">
        <f t="shared" si="5"/>
        <v>645620.24292000011</v>
      </c>
      <c r="I18" s="12">
        <f>K18*10.7%</f>
        <v>103260.63676000001</v>
      </c>
      <c r="J18" s="5">
        <f>K18*22.4%</f>
        <v>216171.80031999998</v>
      </c>
      <c r="K18" s="10">
        <v>965052.68</v>
      </c>
      <c r="L18" s="10">
        <v>933615.84</v>
      </c>
      <c r="M18" s="4">
        <v>0</v>
      </c>
      <c r="N18" s="4">
        <v>0</v>
      </c>
      <c r="O18" s="4">
        <v>0</v>
      </c>
      <c r="P18" s="4">
        <v>0</v>
      </c>
      <c r="Q18" s="4">
        <f t="shared" si="1"/>
        <v>933615.84</v>
      </c>
      <c r="R18" s="4">
        <f t="shared" si="2"/>
        <v>183304.68000000005</v>
      </c>
      <c r="S18" s="4">
        <v>0</v>
      </c>
      <c r="T18" s="4">
        <f t="shared" si="3"/>
        <v>183304.68000000005</v>
      </c>
      <c r="U18" s="20">
        <f t="shared" si="0"/>
        <v>183304.68000000005</v>
      </c>
    </row>
    <row r="19" spans="1:21" s="9" customFormat="1" ht="28.8" x14ac:dyDescent="0.3">
      <c r="A19" s="4">
        <v>15</v>
      </c>
      <c r="B19" s="10" t="s">
        <v>32</v>
      </c>
      <c r="C19" s="10">
        <v>2</v>
      </c>
      <c r="D19" s="13" t="s">
        <v>39</v>
      </c>
      <c r="E19" s="10"/>
      <c r="F19" s="10">
        <v>114506.24000000001</v>
      </c>
      <c r="G19" s="4">
        <f t="shared" si="4"/>
        <v>114506.24000000001</v>
      </c>
      <c r="H19" s="5">
        <f t="shared" si="5"/>
        <v>514912.34159999993</v>
      </c>
      <c r="I19" s="12">
        <f>K19*17%</f>
        <v>142333.49280000001</v>
      </c>
      <c r="J19" s="5">
        <f>K19*21.5%</f>
        <v>180010.0056</v>
      </c>
      <c r="K19" s="10">
        <v>837255.84</v>
      </c>
      <c r="L19" s="10">
        <v>779013.24</v>
      </c>
      <c r="M19" s="4">
        <v>26172.85</v>
      </c>
      <c r="N19" s="4">
        <v>0</v>
      </c>
      <c r="O19" s="4">
        <v>0</v>
      </c>
      <c r="P19" s="4">
        <v>0</v>
      </c>
      <c r="Q19" s="4">
        <f t="shared" si="1"/>
        <v>805186.09</v>
      </c>
      <c r="R19" s="4">
        <f t="shared" si="2"/>
        <v>146575.99</v>
      </c>
      <c r="S19" s="4">
        <v>0</v>
      </c>
      <c r="T19" s="4">
        <f t="shared" si="3"/>
        <v>146575.99</v>
      </c>
      <c r="U19" s="20">
        <f t="shared" si="0"/>
        <v>146575.99</v>
      </c>
    </row>
    <row r="20" spans="1:21" s="9" customFormat="1" ht="28.8" x14ac:dyDescent="0.3">
      <c r="A20" s="4">
        <v>16</v>
      </c>
      <c r="B20" s="10" t="s">
        <v>32</v>
      </c>
      <c r="C20" s="10">
        <v>4</v>
      </c>
      <c r="D20" s="13" t="s">
        <v>39</v>
      </c>
      <c r="E20" s="10"/>
      <c r="F20" s="10">
        <v>52335.87</v>
      </c>
      <c r="G20" s="4">
        <f t="shared" si="4"/>
        <v>52335.87</v>
      </c>
      <c r="H20" s="5">
        <f t="shared" si="5"/>
        <v>326011.84704000002</v>
      </c>
      <c r="I20" s="12">
        <f>K20*25.8%</f>
        <v>159301.24344000002</v>
      </c>
      <c r="J20" s="5">
        <f>K20*21.4%</f>
        <v>132133.58952000001</v>
      </c>
      <c r="K20" s="10">
        <v>617446.68000000005</v>
      </c>
      <c r="L20" s="10">
        <v>546713.37</v>
      </c>
      <c r="M20" s="4">
        <v>0</v>
      </c>
      <c r="N20" s="4">
        <v>0</v>
      </c>
      <c r="O20" s="4">
        <v>0</v>
      </c>
      <c r="P20" s="4">
        <v>0</v>
      </c>
      <c r="Q20" s="4">
        <f t="shared" si="1"/>
        <v>546713.37</v>
      </c>
      <c r="R20" s="4">
        <f t="shared" si="2"/>
        <v>123069.18000000005</v>
      </c>
      <c r="S20" s="4">
        <v>0</v>
      </c>
      <c r="T20" s="4">
        <f t="shared" si="3"/>
        <v>123069.18000000005</v>
      </c>
      <c r="U20" s="20">
        <f t="shared" si="0"/>
        <v>123069.18000000005</v>
      </c>
    </row>
    <row r="21" spans="1:21" s="9" customFormat="1" ht="28.8" x14ac:dyDescent="0.3">
      <c r="A21" s="4">
        <v>17</v>
      </c>
      <c r="B21" s="10" t="s">
        <v>32</v>
      </c>
      <c r="C21" s="10">
        <v>23</v>
      </c>
      <c r="D21" s="13" t="s">
        <v>39</v>
      </c>
      <c r="E21" s="10"/>
      <c r="F21" s="10">
        <v>86809.42</v>
      </c>
      <c r="G21" s="4">
        <f t="shared" si="4"/>
        <v>86809.42</v>
      </c>
      <c r="H21" s="5">
        <f t="shared" si="5"/>
        <v>440460.47652999999</v>
      </c>
      <c r="I21" s="12">
        <f>K21*11.4%</f>
        <v>75964.43922</v>
      </c>
      <c r="J21" s="5">
        <f>K21*22.5%</f>
        <v>149929.81425</v>
      </c>
      <c r="K21" s="10">
        <v>666354.73</v>
      </c>
      <c r="L21" s="10">
        <v>623069.54</v>
      </c>
      <c r="M21" s="4">
        <v>20718.04</v>
      </c>
      <c r="N21" s="4">
        <v>0</v>
      </c>
      <c r="O21" s="4">
        <v>0</v>
      </c>
      <c r="P21" s="4">
        <v>0</v>
      </c>
      <c r="Q21" s="4">
        <f t="shared" si="1"/>
        <v>643787.58000000007</v>
      </c>
      <c r="R21" s="4">
        <f t="shared" si="2"/>
        <v>109376.56999999995</v>
      </c>
      <c r="S21" s="4">
        <v>0</v>
      </c>
      <c r="T21" s="4">
        <f t="shared" si="3"/>
        <v>109376.56999999995</v>
      </c>
      <c r="U21" s="20">
        <f t="shared" si="0"/>
        <v>109376.56999999995</v>
      </c>
    </row>
    <row r="22" spans="1:21" s="9" customFormat="1" ht="28.8" x14ac:dyDescent="0.3">
      <c r="A22" s="4">
        <v>18</v>
      </c>
      <c r="B22" s="10" t="s">
        <v>33</v>
      </c>
      <c r="C22" s="10">
        <v>5</v>
      </c>
      <c r="D22" s="13" t="s">
        <v>39</v>
      </c>
      <c r="E22" s="10"/>
      <c r="F22" s="10">
        <v>79332.38</v>
      </c>
      <c r="G22" s="4">
        <f t="shared" si="4"/>
        <v>79332.38</v>
      </c>
      <c r="H22" s="5">
        <f t="shared" si="5"/>
        <v>246182.8248</v>
      </c>
      <c r="I22" s="12">
        <f>K22*18.7%</f>
        <v>77502.000400000004</v>
      </c>
      <c r="J22" s="5">
        <f>K22*21.9%</f>
        <v>90764.374799999991</v>
      </c>
      <c r="K22" s="10">
        <v>414449.2</v>
      </c>
      <c r="L22" s="10">
        <v>430744.25</v>
      </c>
      <c r="M22" s="4">
        <v>0</v>
      </c>
      <c r="N22" s="4">
        <v>0</v>
      </c>
      <c r="O22" s="4">
        <v>0</v>
      </c>
      <c r="P22" s="4">
        <v>0</v>
      </c>
      <c r="Q22" s="4">
        <f t="shared" si="1"/>
        <v>430744.25</v>
      </c>
      <c r="R22" s="4">
        <f t="shared" si="2"/>
        <v>63037.330000000016</v>
      </c>
      <c r="S22" s="4">
        <v>0</v>
      </c>
      <c r="T22" s="4">
        <f t="shared" si="3"/>
        <v>63037.330000000016</v>
      </c>
      <c r="U22" s="20">
        <f t="shared" si="0"/>
        <v>63037.330000000016</v>
      </c>
    </row>
    <row r="23" spans="1:21" s="9" customFormat="1" ht="28.8" x14ac:dyDescent="0.3">
      <c r="A23" s="4">
        <v>19</v>
      </c>
      <c r="B23" s="10" t="s">
        <v>33</v>
      </c>
      <c r="C23" s="10">
        <v>22</v>
      </c>
      <c r="D23" s="13" t="s">
        <v>39</v>
      </c>
      <c r="E23" s="10"/>
      <c r="F23" s="10">
        <v>94158.66</v>
      </c>
      <c r="G23" s="4">
        <f t="shared" si="4"/>
        <v>94158.66</v>
      </c>
      <c r="H23" s="5">
        <f t="shared" si="5"/>
        <v>315068.0367</v>
      </c>
      <c r="I23" s="12">
        <f>K23*24.5%</f>
        <v>144553.68725000002</v>
      </c>
      <c r="J23" s="5">
        <f>K23*22.1%</f>
        <v>130393.32605000002</v>
      </c>
      <c r="K23" s="10">
        <v>590015.05000000005</v>
      </c>
      <c r="L23" s="10">
        <v>569193.21</v>
      </c>
      <c r="M23" s="4">
        <v>0</v>
      </c>
      <c r="N23" s="4">
        <v>0</v>
      </c>
      <c r="O23" s="4">
        <v>0</v>
      </c>
      <c r="P23" s="4">
        <v>0</v>
      </c>
      <c r="Q23" s="4">
        <f t="shared" si="1"/>
        <v>569193.21</v>
      </c>
      <c r="R23" s="4">
        <f t="shared" si="2"/>
        <v>114980.50000000012</v>
      </c>
      <c r="S23" s="4">
        <v>0</v>
      </c>
      <c r="T23" s="4">
        <f t="shared" si="3"/>
        <v>114980.50000000012</v>
      </c>
      <c r="U23" s="20">
        <f t="shared" si="0"/>
        <v>114980.50000000012</v>
      </c>
    </row>
    <row r="24" spans="1:21" s="9" customFormat="1" ht="28.8" x14ac:dyDescent="0.3">
      <c r="A24" s="4">
        <v>20</v>
      </c>
      <c r="B24" s="10" t="s">
        <v>33</v>
      </c>
      <c r="C24" s="10">
        <v>24</v>
      </c>
      <c r="D24" s="13" t="s">
        <v>39</v>
      </c>
      <c r="E24" s="10"/>
      <c r="F24" s="10">
        <v>90860.2</v>
      </c>
      <c r="G24" s="4">
        <f t="shared" si="4"/>
        <v>90860.2</v>
      </c>
      <c r="H24" s="5">
        <f t="shared" si="5"/>
        <v>607961.42374</v>
      </c>
      <c r="I24" s="12">
        <f>K24*7.7%</f>
        <v>65199.205610000005</v>
      </c>
      <c r="J24" s="5">
        <f>K24*20.5%</f>
        <v>173582.30064999999</v>
      </c>
      <c r="K24" s="10">
        <v>846742.93</v>
      </c>
      <c r="L24" s="10">
        <v>809645.57</v>
      </c>
      <c r="M24" s="4">
        <v>28046.01</v>
      </c>
      <c r="N24" s="4">
        <v>0</v>
      </c>
      <c r="O24" s="4">
        <v>0</v>
      </c>
      <c r="P24" s="4">
        <v>0</v>
      </c>
      <c r="Q24" s="4">
        <f t="shared" si="1"/>
        <v>837691.58</v>
      </c>
      <c r="R24" s="4">
        <f t="shared" si="2"/>
        <v>99911.550000000047</v>
      </c>
      <c r="S24" s="4">
        <v>0</v>
      </c>
      <c r="T24" s="4">
        <f t="shared" si="3"/>
        <v>99911.550000000047</v>
      </c>
      <c r="U24" s="20">
        <f t="shared" si="0"/>
        <v>99911.550000000047</v>
      </c>
    </row>
    <row r="25" spans="1:21" s="9" customFormat="1" ht="28.8" x14ac:dyDescent="0.3">
      <c r="A25" s="4">
        <v>21</v>
      </c>
      <c r="B25" s="10" t="s">
        <v>33</v>
      </c>
      <c r="C25" s="10">
        <v>26</v>
      </c>
      <c r="D25" s="13" t="s">
        <v>39</v>
      </c>
      <c r="E25" s="10"/>
      <c r="F25" s="10">
        <v>105154.19</v>
      </c>
      <c r="G25" s="4">
        <f t="shared" si="4"/>
        <v>105154.19</v>
      </c>
      <c r="H25" s="5">
        <f t="shared" si="5"/>
        <v>335164.86728999997</v>
      </c>
      <c r="I25" s="12">
        <f>K25*20%</f>
        <v>115773.702</v>
      </c>
      <c r="J25" s="5">
        <f>K25*22.1%</f>
        <v>127929.94071000001</v>
      </c>
      <c r="K25" s="10">
        <v>578868.51</v>
      </c>
      <c r="L25" s="10">
        <v>587600.02</v>
      </c>
      <c r="M25" s="4">
        <v>0</v>
      </c>
      <c r="N25" s="4">
        <v>0</v>
      </c>
      <c r="O25" s="4">
        <v>0</v>
      </c>
      <c r="P25" s="4">
        <v>0</v>
      </c>
      <c r="Q25" s="4">
        <f t="shared" si="1"/>
        <v>587600.02</v>
      </c>
      <c r="R25" s="4">
        <f t="shared" si="2"/>
        <v>96422.679999999935</v>
      </c>
      <c r="S25" s="4">
        <v>0</v>
      </c>
      <c r="T25" s="4">
        <f t="shared" si="3"/>
        <v>96422.679999999935</v>
      </c>
      <c r="U25" s="20">
        <f t="shared" si="0"/>
        <v>96422.679999999935</v>
      </c>
    </row>
    <row r="26" spans="1:21" s="9" customFormat="1" ht="28.8" x14ac:dyDescent="0.3">
      <c r="A26" s="4">
        <v>22</v>
      </c>
      <c r="B26" s="10" t="s">
        <v>34</v>
      </c>
      <c r="C26" s="10">
        <v>13</v>
      </c>
      <c r="D26" s="13" t="s">
        <v>39</v>
      </c>
      <c r="E26" s="10"/>
      <c r="F26" s="10">
        <v>62387.53</v>
      </c>
      <c r="G26" s="4">
        <f t="shared" si="4"/>
        <v>62387.53</v>
      </c>
      <c r="H26" s="5">
        <f t="shared" si="5"/>
        <v>180790.57155999998</v>
      </c>
      <c r="I26" s="12">
        <f>K26*23.3%</f>
        <v>76450.459480000005</v>
      </c>
      <c r="J26" s="5">
        <f>K26*21.6%</f>
        <v>70872.528960000011</v>
      </c>
      <c r="K26" s="10">
        <v>328113.56</v>
      </c>
      <c r="L26" s="10">
        <v>307724.89</v>
      </c>
      <c r="M26" s="4">
        <v>0</v>
      </c>
      <c r="N26" s="4">
        <v>0</v>
      </c>
      <c r="O26" s="4">
        <v>0</v>
      </c>
      <c r="P26" s="4">
        <v>0</v>
      </c>
      <c r="Q26" s="4">
        <f t="shared" si="1"/>
        <v>307724.89</v>
      </c>
      <c r="R26" s="4">
        <f t="shared" si="2"/>
        <v>82776.199999999953</v>
      </c>
      <c r="S26" s="4">
        <v>0</v>
      </c>
      <c r="T26" s="4">
        <f t="shared" si="3"/>
        <v>82776.199999999953</v>
      </c>
      <c r="U26" s="20">
        <f t="shared" si="0"/>
        <v>82776.199999999953</v>
      </c>
    </row>
    <row r="27" spans="1:21" s="9" customFormat="1" ht="28.8" x14ac:dyDescent="0.3">
      <c r="A27" s="4">
        <v>23</v>
      </c>
      <c r="B27" s="10" t="s">
        <v>34</v>
      </c>
      <c r="C27" s="10">
        <v>15</v>
      </c>
      <c r="D27" s="13" t="s">
        <v>39</v>
      </c>
      <c r="E27" s="10"/>
      <c r="F27" s="10">
        <v>39403.379999999997</v>
      </c>
      <c r="G27" s="4">
        <f t="shared" si="4"/>
        <v>39403.379999999997</v>
      </c>
      <c r="H27" s="5">
        <f t="shared" si="5"/>
        <v>177544.7352</v>
      </c>
      <c r="I27" s="12">
        <f>K27*14.1%</f>
        <v>39736.202639999996</v>
      </c>
      <c r="J27" s="5">
        <f>K27*22.9%</f>
        <v>64536.102159999988</v>
      </c>
      <c r="K27" s="10">
        <v>281817.03999999998</v>
      </c>
      <c r="L27" s="10">
        <v>283384.25</v>
      </c>
      <c r="M27" s="4">
        <v>0</v>
      </c>
      <c r="N27" s="4">
        <v>0</v>
      </c>
      <c r="O27" s="4">
        <v>0</v>
      </c>
      <c r="P27" s="4">
        <v>0</v>
      </c>
      <c r="Q27" s="4">
        <f t="shared" si="1"/>
        <v>283384.25</v>
      </c>
      <c r="R27" s="4">
        <f t="shared" si="2"/>
        <v>37836.169999999984</v>
      </c>
      <c r="S27" s="4">
        <v>0</v>
      </c>
      <c r="T27" s="4">
        <f t="shared" si="3"/>
        <v>37836.169999999984</v>
      </c>
      <c r="U27" s="20">
        <f t="shared" si="0"/>
        <v>37836.169999999984</v>
      </c>
    </row>
    <row r="28" spans="1:21" s="9" customFormat="1" ht="28.8" x14ac:dyDescent="0.3">
      <c r="A28" s="4">
        <v>24</v>
      </c>
      <c r="B28" s="10" t="s">
        <v>34</v>
      </c>
      <c r="C28" s="10">
        <v>17</v>
      </c>
      <c r="D28" s="13" t="s">
        <v>39</v>
      </c>
      <c r="E28" s="10"/>
      <c r="F28" s="10">
        <v>74904.800000000003</v>
      </c>
      <c r="G28" s="4">
        <f t="shared" si="4"/>
        <v>74904.800000000003</v>
      </c>
      <c r="H28" s="5">
        <f t="shared" si="5"/>
        <v>336072.28825400001</v>
      </c>
      <c r="I28" s="12">
        <f>K28*15.6%</f>
        <v>82732.013520000008</v>
      </c>
      <c r="J28" s="5">
        <f>K28*21.03%</f>
        <v>111529.11822600002</v>
      </c>
      <c r="K28" s="10">
        <v>530333.42000000004</v>
      </c>
      <c r="L28" s="10">
        <v>522798.41</v>
      </c>
      <c r="M28" s="4">
        <v>0</v>
      </c>
      <c r="N28" s="4">
        <v>0</v>
      </c>
      <c r="O28" s="4">
        <v>0</v>
      </c>
      <c r="P28" s="4">
        <v>0</v>
      </c>
      <c r="Q28" s="4">
        <f t="shared" si="1"/>
        <v>522798.41</v>
      </c>
      <c r="R28" s="4">
        <f t="shared" si="2"/>
        <v>82439.810000000114</v>
      </c>
      <c r="S28" s="4">
        <v>0</v>
      </c>
      <c r="T28" s="4">
        <f t="shared" si="3"/>
        <v>82439.810000000114</v>
      </c>
      <c r="U28" s="20">
        <f t="shared" si="0"/>
        <v>82439.810000000114</v>
      </c>
    </row>
    <row r="29" spans="1:21" s="9" customFormat="1" ht="28.8" x14ac:dyDescent="0.3">
      <c r="A29" s="4">
        <v>25</v>
      </c>
      <c r="B29" s="10" t="s">
        <v>35</v>
      </c>
      <c r="C29" s="10">
        <v>4</v>
      </c>
      <c r="D29" s="13" t="s">
        <v>39</v>
      </c>
      <c r="E29" s="10"/>
      <c r="F29" s="10">
        <v>82270.429999999993</v>
      </c>
      <c r="G29" s="4">
        <f t="shared" si="4"/>
        <v>82270.429999999993</v>
      </c>
      <c r="H29" s="5">
        <f t="shared" si="5"/>
        <v>337906.24236000003</v>
      </c>
      <c r="I29" s="12">
        <f>K29*16.7%</f>
        <v>93119.37702</v>
      </c>
      <c r="J29" s="5">
        <f>K29*22.7%</f>
        <v>126575.44062000001</v>
      </c>
      <c r="K29" s="10">
        <v>557601.06000000006</v>
      </c>
      <c r="L29" s="10">
        <v>539830.73</v>
      </c>
      <c r="M29" s="4">
        <v>0</v>
      </c>
      <c r="N29" s="4">
        <v>0</v>
      </c>
      <c r="O29" s="4">
        <v>0</v>
      </c>
      <c r="P29" s="4">
        <v>0</v>
      </c>
      <c r="Q29" s="4">
        <f t="shared" si="1"/>
        <v>539830.73</v>
      </c>
      <c r="R29" s="4">
        <f t="shared" si="2"/>
        <v>100040.76000000001</v>
      </c>
      <c r="S29" s="4">
        <v>0</v>
      </c>
      <c r="T29" s="4">
        <f t="shared" si="3"/>
        <v>100040.76000000001</v>
      </c>
      <c r="U29" s="20">
        <f t="shared" si="0"/>
        <v>100040.76000000001</v>
      </c>
    </row>
    <row r="30" spans="1:21" s="9" customFormat="1" ht="28.8" x14ac:dyDescent="0.3">
      <c r="A30" s="4">
        <v>26</v>
      </c>
      <c r="B30" s="10" t="s">
        <v>35</v>
      </c>
      <c r="C30" s="10">
        <v>25</v>
      </c>
      <c r="D30" s="13" t="s">
        <v>39</v>
      </c>
      <c r="E30" s="10"/>
      <c r="F30" s="10">
        <v>41966.14</v>
      </c>
      <c r="G30" s="4">
        <f t="shared" si="4"/>
        <v>41966.14</v>
      </c>
      <c r="H30" s="5">
        <f t="shared" si="5"/>
        <v>145794.13472000003</v>
      </c>
      <c r="I30" s="12">
        <f>K30*9.6%</f>
        <v>21078.67008</v>
      </c>
      <c r="J30" s="5">
        <f>K30*24%</f>
        <v>52696.675199999998</v>
      </c>
      <c r="K30" s="10">
        <v>219569.48</v>
      </c>
      <c r="L30" s="10">
        <v>214744.34</v>
      </c>
      <c r="M30" s="4">
        <v>0</v>
      </c>
      <c r="N30" s="4">
        <v>0</v>
      </c>
      <c r="O30" s="4">
        <v>0</v>
      </c>
      <c r="P30" s="4">
        <v>0</v>
      </c>
      <c r="Q30" s="4">
        <f t="shared" si="1"/>
        <v>214744.34</v>
      </c>
      <c r="R30" s="4">
        <f t="shared" si="2"/>
        <v>46791.28</v>
      </c>
      <c r="S30" s="4">
        <v>0</v>
      </c>
      <c r="T30" s="4">
        <f t="shared" si="3"/>
        <v>46791.28</v>
      </c>
      <c r="U30" s="20">
        <f t="shared" si="0"/>
        <v>46791.28</v>
      </c>
    </row>
    <row r="31" spans="1:21" s="9" customFormat="1" ht="28.8" x14ac:dyDescent="0.3">
      <c r="A31" s="4">
        <v>27</v>
      </c>
      <c r="B31" s="10" t="s">
        <v>36</v>
      </c>
      <c r="C31" s="10">
        <v>4</v>
      </c>
      <c r="D31" s="13" t="s">
        <v>39</v>
      </c>
      <c r="E31" s="10"/>
      <c r="F31" s="10">
        <v>257743.13</v>
      </c>
      <c r="G31" s="4">
        <f t="shared" si="4"/>
        <v>257743.13</v>
      </c>
      <c r="H31" s="5">
        <f t="shared" si="5"/>
        <v>635402.01725999999</v>
      </c>
      <c r="I31" s="12">
        <f>K31*24.2%</f>
        <v>286345.04316</v>
      </c>
      <c r="J31" s="5">
        <f>K31*22.1%</f>
        <v>261496.91957999999</v>
      </c>
      <c r="K31" s="10">
        <v>1183243.98</v>
      </c>
      <c r="L31" s="10">
        <v>1313744.93</v>
      </c>
      <c r="M31" s="4">
        <v>0</v>
      </c>
      <c r="N31" s="4">
        <v>0</v>
      </c>
      <c r="O31" s="4">
        <v>0</v>
      </c>
      <c r="P31" s="4">
        <v>0</v>
      </c>
      <c r="Q31" s="4">
        <f t="shared" si="1"/>
        <v>1313744.93</v>
      </c>
      <c r="R31" s="4">
        <f t="shared" si="2"/>
        <v>127242.17999999993</v>
      </c>
      <c r="S31" s="4">
        <v>0</v>
      </c>
      <c r="T31" s="4">
        <f t="shared" si="3"/>
        <v>127242.17999999993</v>
      </c>
      <c r="U31" s="20">
        <f t="shared" si="0"/>
        <v>127242.17999999993</v>
      </c>
    </row>
    <row r="32" spans="1:21" s="9" customFormat="1" ht="28.8" x14ac:dyDescent="0.3">
      <c r="A32" s="4">
        <v>28</v>
      </c>
      <c r="B32" s="10" t="s">
        <v>36</v>
      </c>
      <c r="C32" s="10">
        <v>8</v>
      </c>
      <c r="D32" s="13" t="s">
        <v>39</v>
      </c>
      <c r="E32" s="10"/>
      <c r="F32" s="10">
        <v>106726</v>
      </c>
      <c r="G32" s="4">
        <f t="shared" si="4"/>
        <v>106726</v>
      </c>
      <c r="H32" s="5">
        <f t="shared" si="5"/>
        <v>349943.80031999998</v>
      </c>
      <c r="I32" s="12">
        <f>K32*20.1%</f>
        <v>123835.74624000001</v>
      </c>
      <c r="J32" s="5">
        <f>K32*23.1%</f>
        <v>142318.69344</v>
      </c>
      <c r="K32" s="10">
        <v>616098.24</v>
      </c>
      <c r="L32" s="10">
        <v>606716.63</v>
      </c>
      <c r="M32" s="4">
        <v>0</v>
      </c>
      <c r="N32" s="4">
        <v>0</v>
      </c>
      <c r="O32" s="4">
        <v>0</v>
      </c>
      <c r="P32" s="4">
        <v>0</v>
      </c>
      <c r="Q32" s="4">
        <f t="shared" si="1"/>
        <v>606716.63</v>
      </c>
      <c r="R32" s="4">
        <f t="shared" si="2"/>
        <v>116107.60999999999</v>
      </c>
      <c r="S32" s="4">
        <v>0</v>
      </c>
      <c r="T32" s="4">
        <f t="shared" si="3"/>
        <v>116107.60999999999</v>
      </c>
      <c r="U32" s="20">
        <f t="shared" si="0"/>
        <v>116107.60999999999</v>
      </c>
    </row>
    <row r="33" spans="1:21" s="9" customFormat="1" ht="28.8" x14ac:dyDescent="0.3">
      <c r="A33" s="4">
        <v>29</v>
      </c>
      <c r="B33" s="10" t="s">
        <v>36</v>
      </c>
      <c r="C33" s="10">
        <v>16</v>
      </c>
      <c r="D33" s="13" t="s">
        <v>39</v>
      </c>
      <c r="E33" s="10"/>
      <c r="F33" s="10">
        <v>216148.86</v>
      </c>
      <c r="G33" s="4">
        <f t="shared" si="4"/>
        <v>216148.86</v>
      </c>
      <c r="H33" s="5">
        <f t="shared" si="5"/>
        <v>438712.22304000001</v>
      </c>
      <c r="I33" s="12">
        <f>K33*24.6%</f>
        <v>195513.05592000001</v>
      </c>
      <c r="J33" s="5">
        <f>K33*20.2%</f>
        <v>160543.24103999999</v>
      </c>
      <c r="K33" s="10">
        <v>794768.52</v>
      </c>
      <c r="L33" s="10">
        <v>781810.3</v>
      </c>
      <c r="M33" s="4">
        <v>0</v>
      </c>
      <c r="N33" s="4">
        <v>0</v>
      </c>
      <c r="O33" s="4">
        <v>0</v>
      </c>
      <c r="P33" s="4">
        <v>0</v>
      </c>
      <c r="Q33" s="4">
        <f t="shared" si="1"/>
        <v>781810.3</v>
      </c>
      <c r="R33" s="4">
        <f t="shared" si="2"/>
        <v>229107.07999999996</v>
      </c>
      <c r="S33" s="4">
        <v>0</v>
      </c>
      <c r="T33" s="4">
        <f t="shared" si="3"/>
        <v>229107.07999999996</v>
      </c>
      <c r="U33" s="20">
        <f t="shared" si="0"/>
        <v>229107.07999999996</v>
      </c>
    </row>
    <row r="34" spans="1:21" s="9" customFormat="1" ht="28.8" x14ac:dyDescent="0.3">
      <c r="A34" s="4">
        <v>30</v>
      </c>
      <c r="B34" s="10" t="s">
        <v>36</v>
      </c>
      <c r="C34" s="10">
        <v>22</v>
      </c>
      <c r="D34" s="13" t="s">
        <v>39</v>
      </c>
      <c r="E34" s="10"/>
      <c r="F34" s="10">
        <v>130214.81</v>
      </c>
      <c r="G34" s="4">
        <f t="shared" si="4"/>
        <v>130214.81</v>
      </c>
      <c r="H34" s="5">
        <f t="shared" si="5"/>
        <v>387461.79408000002</v>
      </c>
      <c r="I34" s="12">
        <f>K34*22%</f>
        <v>153865.69440000001</v>
      </c>
      <c r="J34" s="5">
        <f>K34*22.6%</f>
        <v>158062.03152000002</v>
      </c>
      <c r="K34" s="10">
        <v>699389.52</v>
      </c>
      <c r="L34" s="10">
        <v>695825.29</v>
      </c>
      <c r="M34" s="4">
        <v>0</v>
      </c>
      <c r="N34" s="4">
        <v>0</v>
      </c>
      <c r="O34" s="4">
        <v>0</v>
      </c>
      <c r="P34" s="4">
        <v>0</v>
      </c>
      <c r="Q34" s="4">
        <f t="shared" si="1"/>
        <v>695825.29</v>
      </c>
      <c r="R34" s="4">
        <f t="shared" si="2"/>
        <v>133779.04000000004</v>
      </c>
      <c r="S34" s="4">
        <v>0</v>
      </c>
      <c r="T34" s="4">
        <f t="shared" si="3"/>
        <v>133779.04000000004</v>
      </c>
      <c r="U34" s="20">
        <f t="shared" si="0"/>
        <v>133779.04000000004</v>
      </c>
    </row>
    <row r="35" spans="1:21" s="9" customFormat="1" ht="28.8" x14ac:dyDescent="0.3">
      <c r="A35" s="4">
        <v>31</v>
      </c>
      <c r="B35" s="10" t="s">
        <v>36</v>
      </c>
      <c r="C35" s="10">
        <v>26</v>
      </c>
      <c r="D35" s="13" t="s">
        <v>39</v>
      </c>
      <c r="E35" s="10"/>
      <c r="F35" s="10">
        <v>130511.76</v>
      </c>
      <c r="G35" s="4">
        <f t="shared" ref="G35:G36" si="7">E35+F35</f>
        <v>130511.76</v>
      </c>
      <c r="H35" s="5">
        <f t="shared" ref="H35:H36" si="8">K35-(I35+J35)</f>
        <v>602691.56518999999</v>
      </c>
      <c r="I35" s="12">
        <f>K35*16.5%</f>
        <v>162225.29895</v>
      </c>
      <c r="J35" s="5">
        <f>K35*22.2%</f>
        <v>218266.76586000001</v>
      </c>
      <c r="K35" s="10">
        <v>983183.63</v>
      </c>
      <c r="L35" s="10">
        <v>992161.98</v>
      </c>
      <c r="M35" s="4">
        <v>0</v>
      </c>
      <c r="N35" s="4">
        <v>0</v>
      </c>
      <c r="O35" s="4">
        <v>0</v>
      </c>
      <c r="P35" s="4">
        <v>0</v>
      </c>
      <c r="Q35" s="4">
        <f t="shared" ref="Q35:Q36" si="9">L35+M35+N35+O35+P35</f>
        <v>992161.98</v>
      </c>
      <c r="R35" s="4">
        <f t="shared" ref="R35:R36" si="10">G35+K35-Q35</f>
        <v>121533.40999999992</v>
      </c>
      <c r="S35" s="4">
        <v>0</v>
      </c>
      <c r="T35" s="4">
        <f t="shared" ref="T35:T36" si="11">R35</f>
        <v>121533.40999999992</v>
      </c>
      <c r="U35" s="20">
        <f t="shared" si="0"/>
        <v>121533.40999999992</v>
      </c>
    </row>
    <row r="36" spans="1:21" s="9" customFormat="1" ht="28.8" x14ac:dyDescent="0.3">
      <c r="A36" s="4">
        <v>32</v>
      </c>
      <c r="B36" s="10" t="s">
        <v>37</v>
      </c>
      <c r="C36" s="10">
        <v>26</v>
      </c>
      <c r="D36" s="13" t="s">
        <v>39</v>
      </c>
      <c r="E36" s="10"/>
      <c r="F36" s="10">
        <v>53906.59</v>
      </c>
      <c r="G36" s="4">
        <f t="shared" si="7"/>
        <v>53906.59</v>
      </c>
      <c r="H36" s="5">
        <f t="shared" si="8"/>
        <v>273714.31359999999</v>
      </c>
      <c r="I36" s="12">
        <f>K36*21.6%</f>
        <v>105575.52096000001</v>
      </c>
      <c r="J36" s="5">
        <f>K36*22.4%</f>
        <v>109485.72543999999</v>
      </c>
      <c r="K36" s="10">
        <v>488775.56</v>
      </c>
      <c r="L36" s="10">
        <v>482961.53</v>
      </c>
      <c r="M36" s="4">
        <v>0</v>
      </c>
      <c r="N36" s="4">
        <v>0</v>
      </c>
      <c r="O36" s="4">
        <v>0</v>
      </c>
      <c r="P36" s="4">
        <v>0</v>
      </c>
      <c r="Q36" s="4">
        <f t="shared" si="9"/>
        <v>482961.53</v>
      </c>
      <c r="R36" s="4">
        <f t="shared" si="10"/>
        <v>59720.619999999995</v>
      </c>
      <c r="S36" s="4">
        <v>0</v>
      </c>
      <c r="T36" s="4">
        <f t="shared" si="11"/>
        <v>59720.619999999995</v>
      </c>
      <c r="U36" s="20">
        <f t="shared" si="0"/>
        <v>59720.619999999995</v>
      </c>
    </row>
  </sheetData>
  <mergeCells count="9">
    <mergeCell ref="L3:Q3"/>
    <mergeCell ref="R3:R4"/>
    <mergeCell ref="S3:U3"/>
    <mergeCell ref="A3:A4"/>
    <mergeCell ref="B3:B4"/>
    <mergeCell ref="C3:C4"/>
    <mergeCell ref="D3:D4"/>
    <mergeCell ref="E3:G3"/>
    <mergeCell ref="H3:K3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0" verticalDpi="0" r:id="rId1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V14"/>
  <sheetViews>
    <sheetView view="pageBreakPreview" zoomScale="80" zoomScaleNormal="90" zoomScaleSheetLayoutView="80" workbookViewId="0">
      <pane xSplit="3" topLeftCell="J1" activePane="topRight" state="frozen"/>
      <selection pane="topRight" activeCell="W9" sqref="W9"/>
    </sheetView>
  </sheetViews>
  <sheetFormatPr defaultRowHeight="14.4" x14ac:dyDescent="0.3"/>
  <cols>
    <col min="1" max="1" width="5.21875" customWidth="1"/>
    <col min="2" max="2" width="18.6640625" customWidth="1"/>
    <col min="3" max="3" width="6.5546875" style="9" customWidth="1"/>
    <col min="4" max="6" width="15.33203125" customWidth="1"/>
    <col min="7" max="7" width="16.21875" customWidth="1"/>
    <col min="8" max="8" width="14.21875" customWidth="1"/>
    <col min="9" max="9" width="13" customWidth="1"/>
    <col min="10" max="10" width="12.109375" customWidth="1"/>
    <col min="11" max="11" width="14.88671875" customWidth="1"/>
    <col min="12" max="12" width="12.21875" customWidth="1"/>
    <col min="13" max="13" width="14.77734375" customWidth="1"/>
    <col min="14" max="14" width="14.6640625" customWidth="1"/>
    <col min="15" max="15" width="11.21875" customWidth="1"/>
    <col min="16" max="16" width="14.6640625" customWidth="1"/>
    <col min="17" max="17" width="12.21875" customWidth="1"/>
    <col min="18" max="18" width="10.44140625" bestFit="1" customWidth="1"/>
    <col min="19" max="19" width="10" customWidth="1"/>
    <col min="20" max="20" width="14.33203125" customWidth="1"/>
    <col min="21" max="21" width="13.109375" customWidth="1"/>
    <col min="22" max="22" width="15.21875" customWidth="1"/>
  </cols>
  <sheetData>
    <row r="3" spans="1:22" ht="34.200000000000003" customHeight="1" x14ac:dyDescent="0.3">
      <c r="A3" s="23" t="s">
        <v>7</v>
      </c>
      <c r="B3" s="23" t="s">
        <v>0</v>
      </c>
      <c r="C3" s="23" t="s">
        <v>2</v>
      </c>
      <c r="D3" s="23" t="s">
        <v>1</v>
      </c>
      <c r="E3" s="29" t="s">
        <v>23</v>
      </c>
      <c r="F3" s="30"/>
      <c r="G3" s="30"/>
      <c r="H3" s="28" t="s">
        <v>6</v>
      </c>
      <c r="I3" s="28"/>
      <c r="J3" s="28"/>
      <c r="K3" s="28"/>
      <c r="L3" s="28"/>
      <c r="M3" s="21" t="s">
        <v>11</v>
      </c>
      <c r="N3" s="21"/>
      <c r="O3" s="21"/>
      <c r="P3" s="21"/>
      <c r="Q3" s="21"/>
      <c r="R3" s="21"/>
      <c r="S3" s="21" t="s">
        <v>17</v>
      </c>
      <c r="T3" s="25" t="s">
        <v>47</v>
      </c>
      <c r="U3" s="26"/>
      <c r="V3" s="27"/>
    </row>
    <row r="4" spans="1:22" ht="69.599999999999994" customHeight="1" x14ac:dyDescent="0.3">
      <c r="A4" s="24"/>
      <c r="B4" s="24"/>
      <c r="C4" s="24"/>
      <c r="D4" s="24"/>
      <c r="E4" s="14" t="s">
        <v>46</v>
      </c>
      <c r="F4" s="14" t="s">
        <v>45</v>
      </c>
      <c r="G4" s="13" t="s">
        <v>4</v>
      </c>
      <c r="H4" s="3" t="s">
        <v>8</v>
      </c>
      <c r="I4" s="3" t="s">
        <v>9</v>
      </c>
      <c r="J4" s="3" t="s">
        <v>10</v>
      </c>
      <c r="K4" s="3" t="s">
        <v>44</v>
      </c>
      <c r="L4" s="13" t="s">
        <v>5</v>
      </c>
      <c r="M4" s="13" t="s">
        <v>12</v>
      </c>
      <c r="N4" s="13" t="s">
        <v>13</v>
      </c>
      <c r="O4" s="13" t="s">
        <v>14</v>
      </c>
      <c r="P4" s="13" t="s">
        <v>15</v>
      </c>
      <c r="Q4" s="13" t="s">
        <v>16</v>
      </c>
      <c r="R4" s="13" t="s">
        <v>5</v>
      </c>
      <c r="S4" s="21"/>
      <c r="T4" s="15" t="s">
        <v>46</v>
      </c>
      <c r="U4" s="15" t="s">
        <v>45</v>
      </c>
      <c r="V4" s="3" t="s">
        <v>19</v>
      </c>
    </row>
    <row r="5" spans="1:22" s="1" customFormat="1" ht="28.8" x14ac:dyDescent="0.3">
      <c r="A5" s="13">
        <v>1</v>
      </c>
      <c r="B5" s="13" t="s">
        <v>25</v>
      </c>
      <c r="C5" s="13">
        <v>56</v>
      </c>
      <c r="D5" s="13" t="s">
        <v>38</v>
      </c>
      <c r="E5" s="14">
        <v>0</v>
      </c>
      <c r="F5" s="14">
        <v>0</v>
      </c>
      <c r="G5" s="13">
        <v>384.27</v>
      </c>
      <c r="H5" s="5">
        <f>L5-(I5+J5+K5)</f>
        <v>102645.238786</v>
      </c>
      <c r="I5" s="12">
        <f>L5*13.87%</f>
        <v>23347.456993999996</v>
      </c>
      <c r="J5" s="5">
        <f>(L5-K5)*13.9%</f>
        <v>20340.284219999998</v>
      </c>
      <c r="K5" s="5">
        <v>21997.64</v>
      </c>
      <c r="L5" s="13">
        <v>168330.62</v>
      </c>
      <c r="M5" s="13">
        <v>139607.5</v>
      </c>
      <c r="N5" s="13">
        <v>24901.040000000001</v>
      </c>
      <c r="O5" s="13">
        <v>0</v>
      </c>
      <c r="P5" s="13">
        <v>0</v>
      </c>
      <c r="Q5" s="13">
        <v>0</v>
      </c>
      <c r="R5" s="13">
        <f>M5+N5+O5+P5+Q5</f>
        <v>164508.54</v>
      </c>
      <c r="S5" s="13">
        <f>R5+E5+F5</f>
        <v>164508.54</v>
      </c>
      <c r="T5" s="15">
        <v>0</v>
      </c>
      <c r="U5" s="13">
        <v>0</v>
      </c>
      <c r="V5" s="20">
        <f>G5+L5-R5</f>
        <v>4206.3499999999767</v>
      </c>
    </row>
    <row r="6" spans="1:22" s="1" customFormat="1" ht="28.8" x14ac:dyDescent="0.3">
      <c r="A6" s="13">
        <v>2</v>
      </c>
      <c r="B6" s="13" t="s">
        <v>27</v>
      </c>
      <c r="C6" s="13">
        <v>17</v>
      </c>
      <c r="D6" s="13" t="s">
        <v>38</v>
      </c>
      <c r="E6" s="14">
        <v>0</v>
      </c>
      <c r="F6" s="14">
        <v>0</v>
      </c>
      <c r="G6" s="13">
        <v>17655.47</v>
      </c>
      <c r="H6" s="5">
        <f t="shared" ref="H6:H14" si="0">L6-(I6+J6+K6)</f>
        <v>65815.511694000001</v>
      </c>
      <c r="I6" s="12">
        <f>L6*11.48%</f>
        <v>11752.404328000001</v>
      </c>
      <c r="J6" s="5">
        <f>(L6-K6)*24.23%</f>
        <v>24804.943978000003</v>
      </c>
      <c r="K6" s="5"/>
      <c r="L6" s="13">
        <v>102372.86</v>
      </c>
      <c r="M6" s="13">
        <v>103941.58</v>
      </c>
      <c r="N6" s="13">
        <v>0</v>
      </c>
      <c r="O6" s="13">
        <v>0</v>
      </c>
      <c r="P6" s="13">
        <v>0</v>
      </c>
      <c r="Q6" s="13">
        <v>0</v>
      </c>
      <c r="R6" s="13">
        <f>M6+N6+O6+P6+Q6</f>
        <v>103941.58</v>
      </c>
      <c r="S6" s="15">
        <f t="shared" ref="S6:S14" si="1">R6+E6+F6</f>
        <v>103941.58</v>
      </c>
      <c r="T6" s="15">
        <v>0</v>
      </c>
      <c r="U6" s="13">
        <v>0</v>
      </c>
      <c r="V6" s="13">
        <f>G6+L6-R6</f>
        <v>16086.75</v>
      </c>
    </row>
    <row r="7" spans="1:22" ht="28.8" x14ac:dyDescent="0.3">
      <c r="A7" s="13">
        <v>3</v>
      </c>
      <c r="B7" s="13" t="s">
        <v>40</v>
      </c>
      <c r="C7" s="10">
        <v>15</v>
      </c>
      <c r="D7" s="13" t="s">
        <v>38</v>
      </c>
      <c r="E7" s="14">
        <v>0</v>
      </c>
      <c r="F7" s="14">
        <v>0</v>
      </c>
      <c r="G7" s="10">
        <v>293372.24</v>
      </c>
      <c r="H7" s="5">
        <f t="shared" si="0"/>
        <v>323850.83558799996</v>
      </c>
      <c r="I7" s="12">
        <f>L7*27.75%</f>
        <v>176767.51942500001</v>
      </c>
      <c r="J7" s="5">
        <f>(L7-K7)*21.41%</f>
        <v>136381.71498699998</v>
      </c>
      <c r="K7" s="5"/>
      <c r="L7" s="10">
        <v>637000.06999999995</v>
      </c>
      <c r="M7" s="10">
        <v>621945.55000000005</v>
      </c>
      <c r="N7" s="13">
        <v>0</v>
      </c>
      <c r="O7" s="13">
        <v>0</v>
      </c>
      <c r="P7" s="13">
        <v>0</v>
      </c>
      <c r="Q7" s="13">
        <v>0</v>
      </c>
      <c r="R7" s="13">
        <f t="shared" ref="R7:R14" si="2">M7+N7+O7+P7+Q7</f>
        <v>621945.55000000005</v>
      </c>
      <c r="S7" s="15">
        <f t="shared" si="1"/>
        <v>621945.55000000005</v>
      </c>
      <c r="T7" s="15">
        <v>0</v>
      </c>
      <c r="U7" s="13">
        <v>59983.95</v>
      </c>
      <c r="V7" s="20">
        <f t="shared" ref="V7:V14" si="3">G7+L7-R7</f>
        <v>308426.75999999989</v>
      </c>
    </row>
    <row r="8" spans="1:22" ht="28.8" x14ac:dyDescent="0.3">
      <c r="A8" s="13">
        <v>4</v>
      </c>
      <c r="B8" s="13" t="s">
        <v>40</v>
      </c>
      <c r="C8" s="10">
        <v>25</v>
      </c>
      <c r="D8" s="13" t="s">
        <v>38</v>
      </c>
      <c r="E8" s="14">
        <v>0</v>
      </c>
      <c r="F8" s="14">
        <v>0</v>
      </c>
      <c r="G8" s="10">
        <v>89034.72</v>
      </c>
      <c r="H8" s="5">
        <f t="shared" si="0"/>
        <v>353392.01331199997</v>
      </c>
      <c r="I8" s="12">
        <f>L8*19.16%</f>
        <v>119186.604032</v>
      </c>
      <c r="J8" s="5">
        <f>(L8-K8)*24.03%</f>
        <v>149480.90265600002</v>
      </c>
      <c r="K8" s="5"/>
      <c r="L8" s="10">
        <v>622059.52000000002</v>
      </c>
      <c r="M8" s="10">
        <v>618246.06999999995</v>
      </c>
      <c r="N8" s="13">
        <v>150.25</v>
      </c>
      <c r="O8" s="13">
        <v>0</v>
      </c>
      <c r="P8" s="13">
        <v>0</v>
      </c>
      <c r="Q8" s="13">
        <v>0</v>
      </c>
      <c r="R8" s="13">
        <f t="shared" si="2"/>
        <v>618396.31999999995</v>
      </c>
      <c r="S8" s="15">
        <f t="shared" si="1"/>
        <v>618396.31999999995</v>
      </c>
      <c r="T8" s="15">
        <v>0</v>
      </c>
      <c r="U8" s="13">
        <v>39797.32</v>
      </c>
      <c r="V8" s="20">
        <f t="shared" si="3"/>
        <v>92697.920000000042</v>
      </c>
    </row>
    <row r="9" spans="1:22" s="9" customFormat="1" ht="28.8" x14ac:dyDescent="0.3">
      <c r="A9" s="13">
        <v>5</v>
      </c>
      <c r="B9" s="10" t="s">
        <v>36</v>
      </c>
      <c r="C9" s="10">
        <v>3</v>
      </c>
      <c r="D9" s="13" t="s">
        <v>38</v>
      </c>
      <c r="E9" s="14">
        <v>0</v>
      </c>
      <c r="F9" s="14">
        <v>48767.11</v>
      </c>
      <c r="G9" s="10">
        <v>27537.49</v>
      </c>
      <c r="H9" s="5">
        <f t="shared" si="0"/>
        <v>206182.41383400001</v>
      </c>
      <c r="I9" s="12">
        <f>L9*25.75%</f>
        <v>163203.42790000001</v>
      </c>
      <c r="J9" s="5">
        <f>(L9-K9)*23.07%</f>
        <v>110772.538266</v>
      </c>
      <c r="K9" s="5">
        <v>153641.34</v>
      </c>
      <c r="L9" s="10">
        <v>633799.72</v>
      </c>
      <c r="M9" s="10">
        <v>550769.69999999995</v>
      </c>
      <c r="N9" s="13">
        <v>134255.25</v>
      </c>
      <c r="O9" s="13">
        <v>0</v>
      </c>
      <c r="P9" s="13">
        <v>0</v>
      </c>
      <c r="Q9" s="13">
        <v>0</v>
      </c>
      <c r="R9" s="13">
        <f t="shared" si="2"/>
        <v>685024.95</v>
      </c>
      <c r="S9" s="15">
        <f t="shared" si="1"/>
        <v>733792.05999999994</v>
      </c>
      <c r="T9" s="15">
        <v>0</v>
      </c>
      <c r="U9" s="13">
        <v>0</v>
      </c>
      <c r="V9" s="20">
        <f t="shared" si="3"/>
        <v>-23687.739999999991</v>
      </c>
    </row>
    <row r="10" spans="1:22" s="9" customFormat="1" ht="28.8" x14ac:dyDescent="0.3">
      <c r="A10" s="13">
        <v>6</v>
      </c>
      <c r="B10" s="10" t="s">
        <v>36</v>
      </c>
      <c r="C10" s="10">
        <v>20</v>
      </c>
      <c r="D10" s="13" t="s">
        <v>38</v>
      </c>
      <c r="E10" s="14">
        <v>0</v>
      </c>
      <c r="F10" s="14">
        <v>76944.55</v>
      </c>
      <c r="G10" s="10">
        <v>63399.58</v>
      </c>
      <c r="H10" s="5">
        <f t="shared" si="0"/>
        <v>366692.525379</v>
      </c>
      <c r="I10" s="12">
        <f>L10*14.88%</f>
        <v>86788.369296000019</v>
      </c>
      <c r="J10" s="5">
        <f>(L10-K10)*22.25%</f>
        <v>129774.27532500001</v>
      </c>
      <c r="K10" s="5"/>
      <c r="L10" s="10">
        <v>583255.17000000004</v>
      </c>
      <c r="M10" s="10">
        <v>566146.09</v>
      </c>
      <c r="N10" s="13">
        <v>0</v>
      </c>
      <c r="O10" s="13">
        <v>0</v>
      </c>
      <c r="P10" s="13">
        <v>0</v>
      </c>
      <c r="Q10" s="13">
        <v>0</v>
      </c>
      <c r="R10" s="13">
        <f t="shared" si="2"/>
        <v>566146.09</v>
      </c>
      <c r="S10" s="15">
        <f t="shared" si="1"/>
        <v>643090.64</v>
      </c>
      <c r="T10" s="15">
        <v>0</v>
      </c>
      <c r="U10" s="13">
        <v>35380.230000000003</v>
      </c>
      <c r="V10" s="20">
        <f t="shared" si="3"/>
        <v>80508.660000000033</v>
      </c>
    </row>
    <row r="11" spans="1:22" s="9" customFormat="1" ht="28.8" x14ac:dyDescent="0.3">
      <c r="A11" s="13">
        <v>7</v>
      </c>
      <c r="B11" s="10" t="s">
        <v>35</v>
      </c>
      <c r="C11" s="10">
        <v>7</v>
      </c>
      <c r="D11" s="13" t="s">
        <v>38</v>
      </c>
      <c r="E11" s="14">
        <v>0</v>
      </c>
      <c r="F11" s="14">
        <v>38514.25</v>
      </c>
      <c r="G11" s="10">
        <v>91061.41</v>
      </c>
      <c r="H11" s="5">
        <f t="shared" si="0"/>
        <v>357145.79441199999</v>
      </c>
      <c r="I11" s="12">
        <f>L11*18.65%</f>
        <v>112285.385465</v>
      </c>
      <c r="J11" s="5">
        <f>(L11-K11)*22.03%</f>
        <v>132635.23012300002</v>
      </c>
      <c r="K11" s="5"/>
      <c r="L11" s="10">
        <v>602066.41</v>
      </c>
      <c r="M11" s="10">
        <v>613590.1</v>
      </c>
      <c r="N11" s="13">
        <v>520.21</v>
      </c>
      <c r="O11" s="13">
        <v>0</v>
      </c>
      <c r="P11" s="13">
        <v>0</v>
      </c>
      <c r="Q11" s="13">
        <v>0</v>
      </c>
      <c r="R11" s="13">
        <f t="shared" si="2"/>
        <v>614110.30999999994</v>
      </c>
      <c r="S11" s="15">
        <f t="shared" si="1"/>
        <v>652624.55999999994</v>
      </c>
      <c r="T11" s="15">
        <v>0</v>
      </c>
      <c r="U11" s="13">
        <v>61769.49</v>
      </c>
      <c r="V11" s="20">
        <f t="shared" si="3"/>
        <v>79017.510000000126</v>
      </c>
    </row>
    <row r="12" spans="1:22" s="9" customFormat="1" ht="28.8" x14ac:dyDescent="0.3">
      <c r="A12" s="13">
        <v>8</v>
      </c>
      <c r="B12" s="10" t="s">
        <v>35</v>
      </c>
      <c r="C12" s="10" t="s">
        <v>41</v>
      </c>
      <c r="D12" s="13" t="s">
        <v>38</v>
      </c>
      <c r="E12" s="14">
        <v>0</v>
      </c>
      <c r="F12" s="14">
        <v>112058.14</v>
      </c>
      <c r="G12" s="10">
        <v>59055.199999999997</v>
      </c>
      <c r="H12" s="5">
        <f t="shared" si="0"/>
        <v>325708.28240999999</v>
      </c>
      <c r="I12" s="12">
        <f>L12*22.94%</f>
        <v>136495.21371000001</v>
      </c>
      <c r="J12" s="5">
        <f>(L12-K12)*22.32%</f>
        <v>132806.15388</v>
      </c>
      <c r="K12" s="5"/>
      <c r="L12" s="10">
        <v>595009.65</v>
      </c>
      <c r="M12" s="10">
        <v>593888.05000000005</v>
      </c>
      <c r="N12" s="13">
        <v>898.41</v>
      </c>
      <c r="O12" s="13">
        <v>0</v>
      </c>
      <c r="P12" s="13">
        <v>0</v>
      </c>
      <c r="Q12" s="13">
        <v>0</v>
      </c>
      <c r="R12" s="13">
        <f t="shared" si="2"/>
        <v>594786.46000000008</v>
      </c>
      <c r="S12" s="15">
        <f t="shared" si="1"/>
        <v>706844.60000000009</v>
      </c>
      <c r="T12" s="15">
        <v>0</v>
      </c>
      <c r="U12" s="13">
        <v>105527.37</v>
      </c>
      <c r="V12" s="20">
        <f t="shared" si="3"/>
        <v>59278.389999999898</v>
      </c>
    </row>
    <row r="13" spans="1:22" s="9" customFormat="1" ht="28.8" x14ac:dyDescent="0.3">
      <c r="A13" s="13">
        <v>9</v>
      </c>
      <c r="B13" s="10" t="s">
        <v>42</v>
      </c>
      <c r="C13" s="10">
        <v>3</v>
      </c>
      <c r="D13" s="13" t="s">
        <v>38</v>
      </c>
      <c r="E13" s="14">
        <v>0</v>
      </c>
      <c r="F13" s="14">
        <v>0</v>
      </c>
      <c r="G13" s="10">
        <v>0</v>
      </c>
      <c r="H13" s="5">
        <f t="shared" si="0"/>
        <v>538731.22593199997</v>
      </c>
      <c r="I13" s="12">
        <f>L13*17.66%</f>
        <v>167323.134892</v>
      </c>
      <c r="J13" s="5">
        <f>(L13-K13)*25.48%</f>
        <v>241415.25917600002</v>
      </c>
      <c r="K13" s="5"/>
      <c r="L13" s="10">
        <v>947469.62</v>
      </c>
      <c r="M13" s="10">
        <v>819460.9</v>
      </c>
      <c r="N13" s="13">
        <v>0</v>
      </c>
      <c r="O13" s="13">
        <v>0</v>
      </c>
      <c r="P13" s="13">
        <v>0</v>
      </c>
      <c r="Q13" s="13">
        <v>0</v>
      </c>
      <c r="R13" s="13">
        <f t="shared" si="2"/>
        <v>819460.9</v>
      </c>
      <c r="S13" s="15">
        <f t="shared" si="1"/>
        <v>819460.9</v>
      </c>
      <c r="T13" s="15">
        <v>0</v>
      </c>
      <c r="U13" s="13">
        <v>0</v>
      </c>
      <c r="V13" s="20">
        <f t="shared" si="3"/>
        <v>128008.71999999997</v>
      </c>
    </row>
    <row r="14" spans="1:22" s="9" customFormat="1" ht="28.8" x14ac:dyDescent="0.3">
      <c r="A14" s="13">
        <v>10</v>
      </c>
      <c r="B14" s="10" t="s">
        <v>43</v>
      </c>
      <c r="C14" s="10">
        <v>28</v>
      </c>
      <c r="D14" s="13" t="s">
        <v>38</v>
      </c>
      <c r="E14" s="14">
        <v>0</v>
      </c>
      <c r="F14" s="14">
        <v>0</v>
      </c>
      <c r="G14" s="10">
        <v>117321.49</v>
      </c>
      <c r="H14" s="5">
        <f t="shared" si="0"/>
        <v>473182.60254599998</v>
      </c>
      <c r="I14" s="12">
        <f>L14*20.68%</f>
        <v>176028.35439199998</v>
      </c>
      <c r="J14" s="5">
        <f>(L14-K14)*23.73%</f>
        <v>201989.98306199998</v>
      </c>
      <c r="K14" s="5"/>
      <c r="L14" s="10">
        <v>851200.94</v>
      </c>
      <c r="M14" s="10">
        <v>862570.86</v>
      </c>
      <c r="N14" s="13">
        <v>340.56</v>
      </c>
      <c r="O14" s="13">
        <v>0</v>
      </c>
      <c r="P14" s="13">
        <v>29520</v>
      </c>
      <c r="Q14" s="13">
        <v>0</v>
      </c>
      <c r="R14" s="13">
        <f t="shared" si="2"/>
        <v>892431.42</v>
      </c>
      <c r="S14" s="15">
        <f t="shared" si="1"/>
        <v>892431.42</v>
      </c>
      <c r="T14" s="15">
        <v>0</v>
      </c>
      <c r="U14" s="13">
        <v>92775.24</v>
      </c>
      <c r="V14" s="20">
        <f t="shared" si="3"/>
        <v>76091.009999999893</v>
      </c>
    </row>
  </sheetData>
  <mergeCells count="9">
    <mergeCell ref="T3:V3"/>
    <mergeCell ref="M3:R3"/>
    <mergeCell ref="S3:S4"/>
    <mergeCell ref="A3:A4"/>
    <mergeCell ref="B3:B4"/>
    <mergeCell ref="C3:C4"/>
    <mergeCell ref="D3:D4"/>
    <mergeCell ref="H3:L3"/>
    <mergeCell ref="E3:G3"/>
  </mergeCells>
  <pageMargins left="0.70866141732283472" right="0.70866141732283472" top="0.74803149606299213" bottom="0.74803149606299213" header="0.31496062992125984" footer="0.31496062992125984"/>
  <pageSetup paperSize="9" scale="74" orientation="landscape" horizontalDpi="0" verticalDpi="0" r:id="rId1"/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3:V19"/>
  <sheetViews>
    <sheetView tabSelected="1" view="pageBreakPreview" zoomScale="70" zoomScaleNormal="80" zoomScaleSheetLayoutView="70" workbookViewId="0">
      <pane xSplit="3" topLeftCell="G1" activePane="topRight" state="frozen"/>
      <selection pane="topRight" activeCell="V6" sqref="V6:V19"/>
    </sheetView>
  </sheetViews>
  <sheetFormatPr defaultRowHeight="14.4" x14ac:dyDescent="0.3"/>
  <cols>
    <col min="1" max="1" width="5.21875" customWidth="1"/>
    <col min="2" max="2" width="18.6640625" customWidth="1"/>
    <col min="3" max="3" width="6.5546875" style="9" customWidth="1"/>
    <col min="4" max="6" width="15.33203125" customWidth="1"/>
    <col min="7" max="7" width="16.21875" customWidth="1"/>
    <col min="8" max="8" width="14.21875" customWidth="1"/>
    <col min="9" max="9" width="13" customWidth="1"/>
    <col min="10" max="10" width="12.109375" customWidth="1"/>
    <col min="11" max="11" width="14.88671875" customWidth="1"/>
    <col min="12" max="12" width="12.21875" customWidth="1"/>
    <col min="13" max="13" width="14.77734375" customWidth="1"/>
    <col min="14" max="14" width="14.6640625" customWidth="1"/>
    <col min="15" max="15" width="11.21875" customWidth="1"/>
    <col min="16" max="16" width="14.6640625" customWidth="1"/>
    <col min="17" max="17" width="12.21875" customWidth="1"/>
    <col min="18" max="18" width="10.44140625" bestFit="1" customWidth="1"/>
    <col min="19" max="19" width="10" customWidth="1"/>
    <col min="20" max="20" width="14.33203125" customWidth="1"/>
    <col min="21" max="21" width="13.109375" customWidth="1"/>
    <col min="22" max="22" width="15.21875" customWidth="1"/>
  </cols>
  <sheetData>
    <row r="3" spans="1:22" ht="34.200000000000003" customHeight="1" x14ac:dyDescent="0.3">
      <c r="A3" s="23" t="s">
        <v>7</v>
      </c>
      <c r="B3" s="23" t="s">
        <v>0</v>
      </c>
      <c r="C3" s="23" t="s">
        <v>2</v>
      </c>
      <c r="D3" s="23" t="s">
        <v>1</v>
      </c>
      <c r="E3" s="31" t="s">
        <v>23</v>
      </c>
      <c r="F3" s="32"/>
      <c r="G3" s="32"/>
      <c r="H3" s="28" t="s">
        <v>6</v>
      </c>
      <c r="I3" s="28"/>
      <c r="J3" s="28"/>
      <c r="K3" s="28"/>
      <c r="L3" s="28"/>
      <c r="M3" s="21" t="s">
        <v>11</v>
      </c>
      <c r="N3" s="21"/>
      <c r="O3" s="21"/>
      <c r="P3" s="21"/>
      <c r="Q3" s="21"/>
      <c r="R3" s="21"/>
      <c r="S3" s="21" t="s">
        <v>17</v>
      </c>
      <c r="T3" s="25" t="s">
        <v>47</v>
      </c>
      <c r="U3" s="26"/>
      <c r="V3" s="27"/>
    </row>
    <row r="4" spans="1:22" ht="69.599999999999994" customHeight="1" x14ac:dyDescent="0.3">
      <c r="A4" s="24"/>
      <c r="B4" s="24"/>
      <c r="C4" s="24"/>
      <c r="D4" s="24"/>
      <c r="E4" s="16" t="s">
        <v>46</v>
      </c>
      <c r="F4" s="17" t="s">
        <v>45</v>
      </c>
      <c r="G4" s="16" t="s">
        <v>4</v>
      </c>
      <c r="H4" s="17" t="s">
        <v>8</v>
      </c>
      <c r="I4" s="17" t="s">
        <v>9</v>
      </c>
      <c r="J4" s="17" t="s">
        <v>10</v>
      </c>
      <c r="K4" s="18" t="s">
        <v>44</v>
      </c>
      <c r="L4" s="16" t="s">
        <v>5</v>
      </c>
      <c r="M4" s="16" t="s">
        <v>12</v>
      </c>
      <c r="N4" s="16" t="s">
        <v>13</v>
      </c>
      <c r="O4" s="16" t="s">
        <v>14</v>
      </c>
      <c r="P4" s="16" t="s">
        <v>15</v>
      </c>
      <c r="Q4" s="16" t="s">
        <v>16</v>
      </c>
      <c r="R4" s="16" t="s">
        <v>5</v>
      </c>
      <c r="S4" s="21"/>
      <c r="T4" s="16" t="s">
        <v>46</v>
      </c>
      <c r="U4" s="19" t="s">
        <v>45</v>
      </c>
      <c r="V4" s="17" t="s">
        <v>19</v>
      </c>
    </row>
    <row r="5" spans="1:22" s="1" customFormat="1" ht="28.8" x14ac:dyDescent="0.3">
      <c r="A5" s="16">
        <v>1</v>
      </c>
      <c r="B5" s="16" t="s">
        <v>25</v>
      </c>
      <c r="C5" s="16">
        <v>48</v>
      </c>
      <c r="D5" s="16" t="s">
        <v>48</v>
      </c>
      <c r="E5" s="16">
        <v>0</v>
      </c>
      <c r="F5" s="16"/>
      <c r="G5" s="16">
        <v>81475.41</v>
      </c>
      <c r="H5" s="5">
        <f>L5-(I5+J5+K5)</f>
        <v>134098.87349999999</v>
      </c>
      <c r="I5" s="12">
        <f>L5*12.9%</f>
        <v>26945.100750000001</v>
      </c>
      <c r="J5" s="12">
        <f>(L5-K5)*22.9%</f>
        <v>47832.775749999993</v>
      </c>
      <c r="K5" s="5"/>
      <c r="L5" s="16">
        <v>208876.75</v>
      </c>
      <c r="M5" s="16">
        <v>200156.61</v>
      </c>
      <c r="N5" s="16"/>
      <c r="O5" s="16"/>
      <c r="P5" s="16"/>
      <c r="Q5" s="16">
        <v>0</v>
      </c>
      <c r="R5" s="16">
        <f>M5+N5+O5+P5+Q5</f>
        <v>200156.61</v>
      </c>
      <c r="S5" s="16">
        <f>R5+E5+F5</f>
        <v>200156.61</v>
      </c>
      <c r="T5" s="16">
        <v>0</v>
      </c>
      <c r="U5" s="16">
        <v>0</v>
      </c>
      <c r="V5" s="16">
        <f>G5+L5-R5</f>
        <v>90195.550000000047</v>
      </c>
    </row>
    <row r="6" spans="1:22" s="1" customFormat="1" ht="28.8" x14ac:dyDescent="0.3">
      <c r="A6" s="16">
        <v>2</v>
      </c>
      <c r="B6" s="16" t="s">
        <v>25</v>
      </c>
      <c r="C6" s="16">
        <v>53</v>
      </c>
      <c r="D6" s="16" t="s">
        <v>48</v>
      </c>
      <c r="E6" s="16">
        <v>0</v>
      </c>
      <c r="F6" s="16"/>
      <c r="G6" s="16">
        <v>53197.7</v>
      </c>
      <c r="H6" s="5">
        <f t="shared" ref="H6:H19" si="0">L6-(I6+J6+K6)</f>
        <v>159674.76750000002</v>
      </c>
      <c r="I6" s="12">
        <f>L6*6.4%</f>
        <v>13625.580160000001</v>
      </c>
      <c r="J6" s="12">
        <f>(L6-K6)*18.6%</f>
        <v>39599.342340000003</v>
      </c>
      <c r="K6" s="5"/>
      <c r="L6" s="16">
        <v>212899.69</v>
      </c>
      <c r="M6" s="16">
        <v>200274.61</v>
      </c>
      <c r="N6" s="16"/>
      <c r="O6" s="16"/>
      <c r="P6" s="16"/>
      <c r="Q6" s="16">
        <v>0</v>
      </c>
      <c r="R6" s="16">
        <f>M6+N6+O6+P6+Q6</f>
        <v>200274.61</v>
      </c>
      <c r="S6" s="16">
        <f t="shared" ref="S6:S19" si="1">R6+E6+F6</f>
        <v>200274.61</v>
      </c>
      <c r="T6" s="16">
        <v>0</v>
      </c>
      <c r="U6" s="16">
        <v>0</v>
      </c>
      <c r="V6" s="20">
        <f t="shared" ref="V6:V19" si="2">G6+L6-R6</f>
        <v>65822.780000000028</v>
      </c>
    </row>
    <row r="7" spans="1:22" ht="28.8" x14ac:dyDescent="0.3">
      <c r="A7" s="16">
        <v>3</v>
      </c>
      <c r="B7" s="16" t="s">
        <v>25</v>
      </c>
      <c r="C7" s="10">
        <v>62</v>
      </c>
      <c r="D7" s="16" t="s">
        <v>48</v>
      </c>
      <c r="E7" s="16">
        <v>0</v>
      </c>
      <c r="F7" s="16"/>
      <c r="G7" s="10">
        <v>528504.42000000004</v>
      </c>
      <c r="H7" s="5">
        <f t="shared" si="0"/>
        <v>416367.45674400002</v>
      </c>
      <c r="I7" s="12">
        <f>L7*21.76%</f>
        <v>146202.28915200001</v>
      </c>
      <c r="J7" s="12">
        <f>(L7-K7)*16.27%</f>
        <v>109315.774104</v>
      </c>
      <c r="K7" s="5"/>
      <c r="L7" s="10">
        <v>671885.52</v>
      </c>
      <c r="M7" s="10">
        <v>880870.63</v>
      </c>
      <c r="N7" s="16"/>
      <c r="O7" s="16"/>
      <c r="P7" s="16"/>
      <c r="Q7" s="16">
        <v>0</v>
      </c>
      <c r="R7" s="16">
        <f t="shared" ref="R7:R19" si="3">M7+N7+O7+P7+Q7</f>
        <v>880870.63</v>
      </c>
      <c r="S7" s="16">
        <f t="shared" si="1"/>
        <v>880870.63</v>
      </c>
      <c r="T7" s="16">
        <v>0</v>
      </c>
      <c r="U7" s="16">
        <v>103930.47</v>
      </c>
      <c r="V7" s="20">
        <f t="shared" si="2"/>
        <v>319519.30999999994</v>
      </c>
    </row>
    <row r="8" spans="1:22" ht="28.8" x14ac:dyDescent="0.3">
      <c r="A8" s="16">
        <v>4</v>
      </c>
      <c r="B8" s="16" t="s">
        <v>25</v>
      </c>
      <c r="C8" s="10">
        <v>63</v>
      </c>
      <c r="D8" s="16" t="s">
        <v>48</v>
      </c>
      <c r="E8" s="16">
        <v>0</v>
      </c>
      <c r="F8" s="16"/>
      <c r="G8" s="10">
        <v>123752.86</v>
      </c>
      <c r="H8" s="5">
        <f t="shared" si="0"/>
        <v>396452.96258799999</v>
      </c>
      <c r="I8" s="12">
        <f>L8*22.44%</f>
        <v>152733.392196</v>
      </c>
      <c r="J8" s="12">
        <f>(L8-K8)*16.11%</f>
        <v>105464.20521599999</v>
      </c>
      <c r="K8" s="5">
        <v>25979.53</v>
      </c>
      <c r="L8" s="10">
        <v>680630.09</v>
      </c>
      <c r="M8" s="10">
        <v>627274.88</v>
      </c>
      <c r="N8" s="16">
        <v>26075.81</v>
      </c>
      <c r="O8" s="16"/>
      <c r="P8" s="16"/>
      <c r="Q8" s="16">
        <v>0</v>
      </c>
      <c r="R8" s="16">
        <f t="shared" si="3"/>
        <v>653350.69000000006</v>
      </c>
      <c r="S8" s="16">
        <f t="shared" si="1"/>
        <v>653350.69000000006</v>
      </c>
      <c r="T8" s="16">
        <v>0</v>
      </c>
      <c r="U8" s="16">
        <v>7898.52</v>
      </c>
      <c r="V8" s="20">
        <f t="shared" si="2"/>
        <v>151032.25999999989</v>
      </c>
    </row>
    <row r="9" spans="1:22" s="9" customFormat="1" ht="28.8" x14ac:dyDescent="0.3">
      <c r="A9" s="16">
        <v>5</v>
      </c>
      <c r="B9" s="16" t="s">
        <v>25</v>
      </c>
      <c r="C9" s="10">
        <v>73</v>
      </c>
      <c r="D9" s="16" t="s">
        <v>48</v>
      </c>
      <c r="E9" s="16">
        <v>0</v>
      </c>
      <c r="F9" s="16">
        <v>109009.56</v>
      </c>
      <c r="G9" s="10">
        <v>222946.95</v>
      </c>
      <c r="H9" s="5">
        <f t="shared" si="0"/>
        <v>436932.10219100001</v>
      </c>
      <c r="I9" s="12">
        <f>L9*16.86%</f>
        <v>108765.32176200001</v>
      </c>
      <c r="J9" s="12">
        <f>(L9-K9)*15.41%</f>
        <v>99411.246047000022</v>
      </c>
      <c r="K9" s="5"/>
      <c r="L9" s="10">
        <v>645108.67000000004</v>
      </c>
      <c r="M9" s="10">
        <v>565085.44999999995</v>
      </c>
      <c r="N9" s="16"/>
      <c r="O9" s="16"/>
      <c r="P9" s="16"/>
      <c r="Q9" s="16">
        <v>0</v>
      </c>
      <c r="R9" s="16">
        <f t="shared" si="3"/>
        <v>565085.44999999995</v>
      </c>
      <c r="S9" s="16">
        <f t="shared" si="1"/>
        <v>674095.01</v>
      </c>
      <c r="T9" s="16">
        <v>0</v>
      </c>
      <c r="U9" s="16">
        <v>113458.98</v>
      </c>
      <c r="V9" s="20">
        <f t="shared" si="2"/>
        <v>302970.17000000016</v>
      </c>
    </row>
    <row r="10" spans="1:22" s="9" customFormat="1" ht="28.8" x14ac:dyDescent="0.3">
      <c r="A10" s="16">
        <v>6</v>
      </c>
      <c r="B10" s="10" t="s">
        <v>30</v>
      </c>
      <c r="C10" s="10">
        <v>2</v>
      </c>
      <c r="D10" s="16" t="s">
        <v>48</v>
      </c>
      <c r="E10" s="16">
        <v>0</v>
      </c>
      <c r="F10" s="16">
        <v>128999.8</v>
      </c>
      <c r="G10" s="10">
        <v>69436.22</v>
      </c>
      <c r="H10" s="5">
        <f t="shared" si="0"/>
        <v>409113.28781999997</v>
      </c>
      <c r="I10" s="12">
        <f>L10*30.17%</f>
        <v>259087.90708500004</v>
      </c>
      <c r="J10" s="12">
        <f>(L10-K10)*22.19%</f>
        <v>190558.85509500004</v>
      </c>
      <c r="K10" s="5"/>
      <c r="L10" s="10">
        <v>858760.05</v>
      </c>
      <c r="M10" s="10">
        <v>858760.05</v>
      </c>
      <c r="N10" s="16"/>
      <c r="O10" s="16"/>
      <c r="P10" s="16"/>
      <c r="Q10" s="16">
        <v>0</v>
      </c>
      <c r="R10" s="16">
        <f t="shared" si="3"/>
        <v>858760.05</v>
      </c>
      <c r="S10" s="16">
        <f t="shared" si="1"/>
        <v>987759.85000000009</v>
      </c>
      <c r="T10" s="16">
        <v>0</v>
      </c>
      <c r="U10" s="16">
        <v>305408.96000000002</v>
      </c>
      <c r="V10" s="20">
        <f t="shared" si="2"/>
        <v>69436.219999999972</v>
      </c>
    </row>
    <row r="11" spans="1:22" s="9" customFormat="1" ht="28.8" x14ac:dyDescent="0.3">
      <c r="A11" s="16">
        <v>7</v>
      </c>
      <c r="B11" s="10" t="s">
        <v>33</v>
      </c>
      <c r="C11" s="10">
        <v>7</v>
      </c>
      <c r="D11" s="16" t="s">
        <v>48</v>
      </c>
      <c r="E11" s="16">
        <v>0</v>
      </c>
      <c r="F11" s="16"/>
      <c r="G11" s="10">
        <v>28512.53</v>
      </c>
      <c r="H11" s="5">
        <f t="shared" si="0"/>
        <v>152950.25711999999</v>
      </c>
      <c r="I11" s="12">
        <f>L11*8.8%</f>
        <v>20611.979520000004</v>
      </c>
      <c r="J11" s="12">
        <f>(L11-K11)*25.9%</f>
        <v>60664.803360000005</v>
      </c>
      <c r="K11" s="5"/>
      <c r="L11" s="10">
        <v>234227.04</v>
      </c>
      <c r="M11" s="10">
        <v>221261.8</v>
      </c>
      <c r="N11" s="16"/>
      <c r="O11" s="16"/>
      <c r="P11" s="16"/>
      <c r="Q11" s="16">
        <v>0</v>
      </c>
      <c r="R11" s="16">
        <f t="shared" si="3"/>
        <v>221261.8</v>
      </c>
      <c r="S11" s="16">
        <f t="shared" si="1"/>
        <v>221261.8</v>
      </c>
      <c r="T11" s="16">
        <v>0</v>
      </c>
      <c r="U11" s="16">
        <v>0</v>
      </c>
      <c r="V11" s="20">
        <f t="shared" si="2"/>
        <v>41477.770000000019</v>
      </c>
    </row>
    <row r="12" spans="1:22" s="9" customFormat="1" ht="28.8" x14ac:dyDescent="0.3">
      <c r="A12" s="16">
        <v>8</v>
      </c>
      <c r="B12" s="10" t="s">
        <v>32</v>
      </c>
      <c r="C12" s="10">
        <v>1</v>
      </c>
      <c r="D12" s="16" t="s">
        <v>48</v>
      </c>
      <c r="E12" s="16">
        <v>0</v>
      </c>
      <c r="F12" s="16"/>
      <c r="G12" s="10">
        <v>69328.09</v>
      </c>
      <c r="H12" s="5">
        <f t="shared" si="0"/>
        <v>291357.74476799998</v>
      </c>
      <c r="I12" s="12">
        <f>L12*6.14%</f>
        <v>23329.897664</v>
      </c>
      <c r="J12" s="12">
        <f>(L12-K12)*17.18%</f>
        <v>65278.117568000001</v>
      </c>
      <c r="K12" s="5"/>
      <c r="L12" s="10">
        <v>379965.76</v>
      </c>
      <c r="M12" s="10">
        <v>378768.59</v>
      </c>
      <c r="N12" s="16"/>
      <c r="O12" s="16"/>
      <c r="P12" s="16"/>
      <c r="Q12" s="16">
        <v>0</v>
      </c>
      <c r="R12" s="16">
        <f t="shared" si="3"/>
        <v>378768.59</v>
      </c>
      <c r="S12" s="16">
        <f t="shared" si="1"/>
        <v>378768.59</v>
      </c>
      <c r="T12" s="16">
        <v>0</v>
      </c>
      <c r="U12" s="16">
        <v>0</v>
      </c>
      <c r="V12" s="20">
        <f t="shared" si="2"/>
        <v>70525.259999999951</v>
      </c>
    </row>
    <row r="13" spans="1:22" s="9" customFormat="1" ht="28.8" x14ac:dyDescent="0.3">
      <c r="A13" s="16">
        <v>9</v>
      </c>
      <c r="B13" s="10" t="s">
        <v>32</v>
      </c>
      <c r="C13" s="10">
        <v>8</v>
      </c>
      <c r="D13" s="16" t="s">
        <v>48</v>
      </c>
      <c r="E13" s="16">
        <v>0</v>
      </c>
      <c r="F13" s="16">
        <v>46990.59</v>
      </c>
      <c r="G13" s="10">
        <v>88878.59</v>
      </c>
      <c r="H13" s="5">
        <f t="shared" si="0"/>
        <v>435731.35007999995</v>
      </c>
      <c r="I13" s="12">
        <f>L13*16.8%</f>
        <v>123600.95328</v>
      </c>
      <c r="J13" s="12">
        <f>(L13-K13)*21.37%</f>
        <v>152014.89663999999</v>
      </c>
      <c r="K13" s="5">
        <v>24372.76</v>
      </c>
      <c r="L13" s="10">
        <v>735719.96</v>
      </c>
      <c r="M13" s="10">
        <v>697498.89</v>
      </c>
      <c r="N13" s="16">
        <v>25192.45</v>
      </c>
      <c r="O13" s="16"/>
      <c r="P13" s="16"/>
      <c r="Q13" s="16">
        <v>0</v>
      </c>
      <c r="R13" s="16">
        <f t="shared" si="3"/>
        <v>722691.34</v>
      </c>
      <c r="S13" s="16">
        <f t="shared" si="1"/>
        <v>769681.92999999993</v>
      </c>
      <c r="T13" s="16">
        <v>0</v>
      </c>
      <c r="U13" s="16">
        <v>0</v>
      </c>
      <c r="V13" s="20">
        <f t="shared" si="2"/>
        <v>101907.20999999996</v>
      </c>
    </row>
    <row r="14" spans="1:22" s="9" customFormat="1" ht="28.8" x14ac:dyDescent="0.3">
      <c r="A14" s="16">
        <v>10</v>
      </c>
      <c r="B14" s="10" t="s">
        <v>36</v>
      </c>
      <c r="C14" s="10">
        <v>14</v>
      </c>
      <c r="D14" s="16" t="s">
        <v>48</v>
      </c>
      <c r="E14" s="16">
        <v>75540.929999999993</v>
      </c>
      <c r="F14" s="16"/>
      <c r="G14" s="10"/>
      <c r="H14" s="5">
        <f t="shared" ref="H14:H18" si="4">L14-(I14+J14+K14)</f>
        <v>388770.14528</v>
      </c>
      <c r="I14" s="12">
        <f>L14*19.43%</f>
        <v>129567.820288</v>
      </c>
      <c r="J14" s="12">
        <f>(L14-K14)*22.27%</f>
        <v>148506.19443200002</v>
      </c>
      <c r="K14" s="5"/>
      <c r="L14" s="10">
        <v>666844.16000000003</v>
      </c>
      <c r="M14" s="10">
        <v>652532.31000000006</v>
      </c>
      <c r="N14" s="16"/>
      <c r="O14" s="16"/>
      <c r="P14" s="16"/>
      <c r="Q14" s="16">
        <v>0</v>
      </c>
      <c r="R14" s="16">
        <f t="shared" ref="R14:R18" si="5">M14+N14+O14+P14+Q14</f>
        <v>652532.31000000006</v>
      </c>
      <c r="S14" s="16">
        <f t="shared" ref="S14:S18" si="6">R14+E14+F14</f>
        <v>728073.24</v>
      </c>
      <c r="T14" s="16">
        <v>0</v>
      </c>
      <c r="U14" s="16">
        <v>0</v>
      </c>
      <c r="V14" s="20">
        <f t="shared" si="2"/>
        <v>14311.849999999977</v>
      </c>
    </row>
    <row r="15" spans="1:22" s="9" customFormat="1" ht="28.8" x14ac:dyDescent="0.3">
      <c r="A15" s="16">
        <v>11</v>
      </c>
      <c r="B15" s="10" t="s">
        <v>35</v>
      </c>
      <c r="C15" s="10">
        <v>14</v>
      </c>
      <c r="D15" s="16" t="s">
        <v>48</v>
      </c>
      <c r="E15" s="16">
        <v>0</v>
      </c>
      <c r="F15" s="16"/>
      <c r="G15" s="10">
        <v>144100.62</v>
      </c>
      <c r="H15" s="5">
        <f t="shared" ref="H15" si="7">L15-(I15+J15+K15)</f>
        <v>445489.62430000002</v>
      </c>
      <c r="I15" s="12">
        <f>L15*4%</f>
        <v>21704.732000000004</v>
      </c>
      <c r="J15" s="12">
        <f>(L15-K15)*13.9%</f>
        <v>75423.943700000018</v>
      </c>
      <c r="K15" s="5"/>
      <c r="L15" s="10">
        <v>542618.30000000005</v>
      </c>
      <c r="M15" s="10">
        <v>560984.79</v>
      </c>
      <c r="N15" s="16"/>
      <c r="O15" s="16"/>
      <c r="P15" s="16"/>
      <c r="Q15" s="16">
        <v>0</v>
      </c>
      <c r="R15" s="16">
        <f t="shared" ref="R15" si="8">M15+N15+O15+P15+Q15</f>
        <v>560984.79</v>
      </c>
      <c r="S15" s="16">
        <f t="shared" ref="S15" si="9">R15+E15+F15</f>
        <v>560984.79</v>
      </c>
      <c r="T15" s="16">
        <v>0</v>
      </c>
      <c r="U15" s="16">
        <v>0</v>
      </c>
      <c r="V15" s="20">
        <f t="shared" si="2"/>
        <v>125734.13</v>
      </c>
    </row>
    <row r="16" spans="1:22" s="9" customFormat="1" ht="28.8" x14ac:dyDescent="0.3">
      <c r="A16" s="16">
        <v>12</v>
      </c>
      <c r="B16" s="10" t="s">
        <v>35</v>
      </c>
      <c r="C16" s="10" t="s">
        <v>49</v>
      </c>
      <c r="D16" s="16" t="s">
        <v>48</v>
      </c>
      <c r="E16" s="16">
        <v>0</v>
      </c>
      <c r="F16" s="16">
        <v>22185.06</v>
      </c>
      <c r="G16" s="10">
        <v>68114.69</v>
      </c>
      <c r="H16" s="5">
        <f t="shared" si="4"/>
        <v>319062.59830800002</v>
      </c>
      <c r="I16" s="12">
        <f>L16*23.95%</f>
        <v>142115.47758000001</v>
      </c>
      <c r="J16" s="12">
        <f>(L16-K16)*22.28%</f>
        <v>132205.96411200002</v>
      </c>
      <c r="K16" s="5"/>
      <c r="L16" s="10">
        <v>593384.04</v>
      </c>
      <c r="M16" s="10">
        <v>587745.77</v>
      </c>
      <c r="N16" s="16"/>
      <c r="O16" s="16"/>
      <c r="P16" s="16"/>
      <c r="Q16" s="16">
        <v>0</v>
      </c>
      <c r="R16" s="16">
        <f t="shared" si="5"/>
        <v>587745.77</v>
      </c>
      <c r="S16" s="16">
        <f t="shared" si="6"/>
        <v>609930.83000000007</v>
      </c>
      <c r="T16" s="16">
        <v>0</v>
      </c>
      <c r="U16" s="16">
        <v>78599.990000000005</v>
      </c>
      <c r="V16" s="20">
        <f t="shared" si="2"/>
        <v>73752.959999999963</v>
      </c>
    </row>
    <row r="17" spans="1:22" s="9" customFormat="1" ht="28.8" x14ac:dyDescent="0.3">
      <c r="A17" s="16">
        <v>13</v>
      </c>
      <c r="B17" s="10" t="s">
        <v>35</v>
      </c>
      <c r="C17" s="10" t="s">
        <v>50</v>
      </c>
      <c r="D17" s="16" t="s">
        <v>48</v>
      </c>
      <c r="E17" s="16">
        <v>0</v>
      </c>
      <c r="F17" s="16"/>
      <c r="G17" s="10">
        <v>129189.98</v>
      </c>
      <c r="H17" s="5">
        <f t="shared" si="4"/>
        <v>550175.47164</v>
      </c>
      <c r="I17" s="12">
        <f>L17*12.33%</f>
        <v>96181.250040000014</v>
      </c>
      <c r="J17" s="12">
        <f>(L17-K17)*17.14%</f>
        <v>133702.07832</v>
      </c>
      <c r="K17" s="5"/>
      <c r="L17" s="10">
        <v>780058.8</v>
      </c>
      <c r="M17" s="10">
        <v>802576.34</v>
      </c>
      <c r="N17" s="16"/>
      <c r="O17" s="16"/>
      <c r="P17" s="16"/>
      <c r="Q17" s="16">
        <v>0</v>
      </c>
      <c r="R17" s="16">
        <f t="shared" si="5"/>
        <v>802576.34</v>
      </c>
      <c r="S17" s="16">
        <f t="shared" si="6"/>
        <v>802576.34</v>
      </c>
      <c r="T17" s="16">
        <v>0</v>
      </c>
      <c r="U17" s="16">
        <v>0</v>
      </c>
      <c r="V17" s="20">
        <f t="shared" si="2"/>
        <v>106672.44000000006</v>
      </c>
    </row>
    <row r="18" spans="1:22" s="9" customFormat="1" ht="28.8" x14ac:dyDescent="0.3">
      <c r="A18" s="16">
        <v>14</v>
      </c>
      <c r="B18" s="10" t="s">
        <v>43</v>
      </c>
      <c r="C18" s="10">
        <v>4</v>
      </c>
      <c r="D18" s="16" t="s">
        <v>48</v>
      </c>
      <c r="E18" s="16">
        <v>0</v>
      </c>
      <c r="F18" s="16"/>
      <c r="G18" s="10">
        <v>65151.95</v>
      </c>
      <c r="H18" s="5">
        <f t="shared" si="4"/>
        <v>404555.20191900001</v>
      </c>
      <c r="I18" s="12">
        <f>L18*12.31%</f>
        <v>73443.905996999994</v>
      </c>
      <c r="J18" s="12">
        <f>(L18-K18)*17.17%</f>
        <v>99085.412084000011</v>
      </c>
      <c r="K18" s="5">
        <v>19535.349999999999</v>
      </c>
      <c r="L18" s="10">
        <v>596619.87</v>
      </c>
      <c r="M18" s="10">
        <v>545884.93000000005</v>
      </c>
      <c r="N18" s="16">
        <v>21526.59</v>
      </c>
      <c r="O18" s="16"/>
      <c r="P18" s="16"/>
      <c r="Q18" s="16">
        <v>0</v>
      </c>
      <c r="R18" s="16">
        <f t="shared" si="5"/>
        <v>567411.52</v>
      </c>
      <c r="S18" s="16">
        <f t="shared" si="6"/>
        <v>567411.52</v>
      </c>
      <c r="T18" s="16">
        <v>0</v>
      </c>
      <c r="U18" s="16">
        <v>0</v>
      </c>
      <c r="V18" s="20">
        <f t="shared" si="2"/>
        <v>94360.29999999993</v>
      </c>
    </row>
    <row r="19" spans="1:22" s="9" customFormat="1" ht="28.8" x14ac:dyDescent="0.3">
      <c r="A19" s="16">
        <v>15</v>
      </c>
      <c r="B19" s="10" t="s">
        <v>43</v>
      </c>
      <c r="C19" s="10">
        <v>13</v>
      </c>
      <c r="D19" s="16" t="s">
        <v>48</v>
      </c>
      <c r="E19" s="16">
        <v>0</v>
      </c>
      <c r="F19" s="16">
        <v>1840.42</v>
      </c>
      <c r="G19" s="10">
        <v>58668.11</v>
      </c>
      <c r="H19" s="5">
        <f t="shared" si="0"/>
        <v>85369.678847999996</v>
      </c>
      <c r="I19" s="12">
        <f>L19*21.98%</f>
        <v>31525.966751999997</v>
      </c>
      <c r="J19" s="12">
        <f>(L19-K19)*18.5%</f>
        <v>26534.594399999998</v>
      </c>
      <c r="K19" s="5"/>
      <c r="L19" s="10">
        <v>143430.24</v>
      </c>
      <c r="M19" s="10">
        <v>119397.04</v>
      </c>
      <c r="N19" s="16"/>
      <c r="O19" s="16"/>
      <c r="P19" s="16"/>
      <c r="Q19" s="16">
        <v>0</v>
      </c>
      <c r="R19" s="16">
        <f t="shared" si="3"/>
        <v>119397.04</v>
      </c>
      <c r="S19" s="16">
        <f t="shared" si="1"/>
        <v>121237.45999999999</v>
      </c>
      <c r="T19" s="16">
        <v>0</v>
      </c>
      <c r="U19" s="16">
        <v>0</v>
      </c>
      <c r="V19" s="20">
        <f t="shared" si="2"/>
        <v>82701.309999999983</v>
      </c>
    </row>
  </sheetData>
  <mergeCells count="9">
    <mergeCell ref="M3:R3"/>
    <mergeCell ref="S3:S4"/>
    <mergeCell ref="T3:V3"/>
    <mergeCell ref="A3:A4"/>
    <mergeCell ref="B3:B4"/>
    <mergeCell ref="C3:C4"/>
    <mergeCell ref="D3:D4"/>
    <mergeCell ref="E3:G3"/>
    <mergeCell ref="H3:L3"/>
  </mergeCells>
  <pageMargins left="0.70866141732283472" right="0.70866141732283472" top="0.74803149606299213" bottom="0.74803149606299213" header="0.31496062992125984" footer="0.31496062992125984"/>
  <pageSetup paperSize="9" scale="82" orientation="landscape" horizontalDpi="0" verticalDpi="0" r:id="rId1"/>
  <colBreaks count="1" manualBreakCount="1">
    <brk id="12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МКД, март 2015</vt:lpstr>
      <vt:lpstr>МКД, апрель 2015</vt:lpstr>
      <vt:lpstr>МКД, май 2015</vt:lpstr>
      <vt:lpstr>МКД, июнь 2015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2015-06-18T13:32:05Z</dcterms:modified>
</cp:coreProperties>
</file>